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jeita365.sharepoint.com/sites/Files_ED/Shared Documents/device/共通/☆共通-半導体実装・製品技術専門委員会/半導体標準化引継ぎ資料/半導体信頼性技術委員会/Spreadsheet（定期的に更新）/"/>
    </mc:Choice>
  </mc:AlternateContent>
  <xr:revisionPtr revIDLastSave="0" documentId="8_{22001518-E26A-4DF7-B144-7D2E885173D2}" xr6:coauthVersionLast="47" xr6:coauthVersionMax="47" xr10:uidLastSave="{00000000-0000-0000-0000-000000000000}"/>
  <workbookProtection workbookAlgorithmName="SHA-512" workbookHashValue="lFH7kPz4jatJ635NKWJjFIctyUcWDmsUtrtHj7Y63j64hfCoFooSgyXFuC2v/V/YugYE/cOGBJ/Obp8fsrIxgA==" workbookSaltValue="zo3gDnjLfOCeiPTMcid2NQ==" workbookSpinCount="100000" lockStructure="1"/>
  <bookViews>
    <workbookView xWindow="-110" yWindow="-110" windowWidth="19420" windowHeight="11500" firstSheet="1" activeTab="1" xr2:uid="{297A80AE-D5B4-49B0-B735-1FA92E4417F5}"/>
  </bookViews>
  <sheets>
    <sheet name="Macro1" sheetId="7" state="hidden" r:id="rId1"/>
    <sheet name="Top sheet" sheetId="1" r:id="rId2"/>
    <sheet name="HTOL" sheetId="2" r:id="rId3"/>
    <sheet name="THB" sheetId="3" r:id="rId4"/>
    <sheet name="THS" sheetId="4" r:id="rId5"/>
    <sheet name="T Cycle" sheetId="5" r:id="rId6"/>
    <sheet name="HTS" sheetId="6" r:id="rId7"/>
    <sheet name="Update Description" sheetId="8" r:id="rId8"/>
  </sheets>
  <definedNames>
    <definedName name="_xlnm.Print_Area" localSheetId="2">HTOL!$A$1:$AT$34</definedName>
    <definedName name="_xlnm.Print_Area" localSheetId="6">HTS!$A$1:$AU$35</definedName>
    <definedName name="_xlnm.Print_Area" localSheetId="5">'T Cycle'!$A$1:$AU$35</definedName>
    <definedName name="_xlnm.Print_Area" localSheetId="3">THB!$A$1:$AU$36</definedName>
    <definedName name="_xlnm.Print_Area" localSheetId="4">THS!$A$1:$AU$36</definedName>
    <definedName name="_xlnm.Print_Area" localSheetId="1">'Top sheet'!$B$1:$O$29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2" i="3" l="1"/>
  <c r="AC29" i="5"/>
  <c r="AC31" i="5"/>
  <c r="AC32" i="5"/>
  <c r="AC33" i="5"/>
  <c r="AC30" i="5"/>
  <c r="AC30" i="4"/>
  <c r="AC32" i="4"/>
  <c r="AC33" i="4"/>
  <c r="AC34" i="4"/>
  <c r="AC31" i="4"/>
  <c r="AC30" i="3"/>
  <c r="AC32" i="3"/>
  <c r="AC33" i="3"/>
  <c r="AC34" i="3"/>
  <c r="AC31" i="3"/>
  <c r="AC29" i="2"/>
  <c r="AC31" i="2"/>
  <c r="AC32" i="2"/>
  <c r="AC33" i="2"/>
  <c r="AC30" i="2"/>
  <c r="AF15" i="4"/>
  <c r="AU7" i="5"/>
  <c r="AU8" i="5"/>
  <c r="AU10" i="5"/>
  <c r="AU11" i="5"/>
  <c r="AU12" i="5"/>
  <c r="AU13" i="5"/>
  <c r="AU14" i="5"/>
  <c r="AU15" i="5"/>
  <c r="AU16" i="5"/>
  <c r="AU9" i="5"/>
  <c r="AU7" i="2"/>
  <c r="L7" i="2" s="1"/>
  <c r="AU9" i="2"/>
  <c r="L9" i="2" s="1"/>
  <c r="AU10" i="2"/>
  <c r="L10" i="2" s="1"/>
  <c r="AU11" i="2"/>
  <c r="L11" i="2" s="1"/>
  <c r="AU12" i="2"/>
  <c r="L12" i="2" s="1"/>
  <c r="AU13" i="2"/>
  <c r="L13" i="2" s="1"/>
  <c r="AU14" i="2"/>
  <c r="L14" i="2" s="1"/>
  <c r="AU15" i="2"/>
  <c r="L15" i="2" s="1"/>
  <c r="AU16" i="2"/>
  <c r="L16" i="2" s="1"/>
  <c r="AU8" i="2"/>
  <c r="AU7" i="6"/>
  <c r="Q7" i="6" s="1"/>
  <c r="AU8" i="6"/>
  <c r="AU9" i="6"/>
  <c r="Q9" i="6" s="1"/>
  <c r="AU11" i="6"/>
  <c r="AU12" i="6"/>
  <c r="AU13" i="6"/>
  <c r="Q13" i="6" s="1"/>
  <c r="AU14" i="6"/>
  <c r="AU15" i="6"/>
  <c r="AU16" i="6"/>
  <c r="AU10" i="6"/>
  <c r="Q10" i="6" s="1"/>
  <c r="L25" i="5"/>
  <c r="AV8" i="6"/>
  <c r="AF8" i="6" s="1"/>
  <c r="AV9" i="6"/>
  <c r="AF9" i="6" s="1"/>
  <c r="AV10" i="6"/>
  <c r="AF10" i="6" s="1"/>
  <c r="AV11" i="6"/>
  <c r="AF11" i="6" s="1"/>
  <c r="AV12" i="6"/>
  <c r="AF12" i="6" s="1"/>
  <c r="AV13" i="6"/>
  <c r="AF13" i="6" s="1"/>
  <c r="AV14" i="6"/>
  <c r="AF14" i="6" s="1"/>
  <c r="AV15" i="6"/>
  <c r="AF15" i="6" s="1"/>
  <c r="AV16" i="6"/>
  <c r="AF16" i="6" s="1"/>
  <c r="AV7" i="6"/>
  <c r="AF7" i="6" s="1"/>
  <c r="Q11" i="6"/>
  <c r="Q16" i="6"/>
  <c r="AV29" i="6"/>
  <c r="AV29" i="2"/>
  <c r="AV29" i="5"/>
  <c r="AV30" i="4"/>
  <c r="AV30" i="3"/>
  <c r="S37" i="2"/>
  <c r="S36" i="2"/>
  <c r="BH9" i="4"/>
  <c r="BI9" i="4" s="1"/>
  <c r="BI8" i="4"/>
  <c r="BH5" i="4"/>
  <c r="BJ2" i="4"/>
  <c r="BI2" i="4"/>
  <c r="BH10" i="3"/>
  <c r="BH11" i="3" s="1"/>
  <c r="BH12" i="3" s="1"/>
  <c r="BH13" i="3" s="1"/>
  <c r="BH14" i="3" s="1"/>
  <c r="BH15" i="3" s="1"/>
  <c r="BH16" i="3" s="1"/>
  <c r="BH17" i="3" s="1"/>
  <c r="BH9" i="3"/>
  <c r="BI9" i="3" s="1"/>
  <c r="BH5" i="3"/>
  <c r="BJ2" i="3"/>
  <c r="BI2" i="3"/>
  <c r="BI8" i="3"/>
  <c r="P17" i="4"/>
  <c r="X27" i="3"/>
  <c r="X27" i="4"/>
  <c r="AV8" i="4"/>
  <c r="AV9" i="4"/>
  <c r="T9" i="4" s="1"/>
  <c r="AV10" i="4"/>
  <c r="AV11" i="4"/>
  <c r="T11" i="4" s="1"/>
  <c r="AV12" i="4"/>
  <c r="T12" i="4" s="1"/>
  <c r="AV13" i="4"/>
  <c r="T13" i="4" s="1"/>
  <c r="AV14" i="4"/>
  <c r="AV15" i="4"/>
  <c r="T15" i="4" s="1"/>
  <c r="AV16" i="4"/>
  <c r="AU8" i="4"/>
  <c r="AW8" i="4" s="1"/>
  <c r="AU9" i="4"/>
  <c r="AW9" i="4" s="1"/>
  <c r="AU10" i="4"/>
  <c r="AW10" i="4" s="1"/>
  <c r="AU11" i="4"/>
  <c r="AW11" i="4" s="1"/>
  <c r="AZ11" i="4" s="1"/>
  <c r="BA11" i="4" s="1"/>
  <c r="L11" i="4" s="1"/>
  <c r="AF11" i="4" s="1"/>
  <c r="AU12" i="4"/>
  <c r="AW12" i="4" s="1"/>
  <c r="AZ12" i="4" s="1"/>
  <c r="BA12" i="4" s="1"/>
  <c r="L12" i="4" s="1"/>
  <c r="AF12" i="4" s="1"/>
  <c r="AU13" i="4"/>
  <c r="AW13" i="4" s="1"/>
  <c r="AU14" i="4"/>
  <c r="AU15" i="4"/>
  <c r="L15" i="4" s="1"/>
  <c r="AU16" i="4"/>
  <c r="L16" i="4" s="1"/>
  <c r="T8" i="4"/>
  <c r="T10" i="4"/>
  <c r="T14" i="4"/>
  <c r="T16" i="4"/>
  <c r="AV7" i="4"/>
  <c r="T7" i="4" s="1"/>
  <c r="AU7" i="4"/>
  <c r="AW7" i="4" s="1"/>
  <c r="AZ7" i="4" s="1"/>
  <c r="BA7" i="4" s="1"/>
  <c r="L7" i="4" s="1"/>
  <c r="AV8" i="3"/>
  <c r="T8" i="3" s="1"/>
  <c r="AV9" i="3"/>
  <c r="T9" i="3" s="1"/>
  <c r="AV10" i="3"/>
  <c r="T10" i="3" s="1"/>
  <c r="AV11" i="3"/>
  <c r="T11" i="3" s="1"/>
  <c r="AV12" i="3"/>
  <c r="T12" i="3" s="1"/>
  <c r="AV13" i="3"/>
  <c r="T13" i="3" s="1"/>
  <c r="AV14" i="3"/>
  <c r="T14" i="3" s="1"/>
  <c r="AV15" i="3"/>
  <c r="T15" i="3" s="1"/>
  <c r="AV16" i="3"/>
  <c r="T16" i="3" s="1"/>
  <c r="AU8" i="3"/>
  <c r="AW8" i="3" s="1"/>
  <c r="AU9" i="3"/>
  <c r="AU10" i="3"/>
  <c r="AU11" i="3"/>
  <c r="AU12" i="3"/>
  <c r="AU13" i="3"/>
  <c r="AU14" i="3"/>
  <c r="AU15" i="3"/>
  <c r="AU16" i="3"/>
  <c r="AW16" i="3" s="1"/>
  <c r="AV7" i="3"/>
  <c r="T7" i="3" s="1"/>
  <c r="AU7" i="3"/>
  <c r="P17" i="3"/>
  <c r="M18" i="1"/>
  <c r="K21" i="1"/>
  <c r="T38" i="3"/>
  <c r="T37" i="3"/>
  <c r="F33" i="1"/>
  <c r="D35" i="1"/>
  <c r="F35" i="1" s="1"/>
  <c r="Q38" i="4"/>
  <c r="Q37" i="4"/>
  <c r="Q43" i="4"/>
  <c r="Q42" i="4"/>
  <c r="Q41" i="4"/>
  <c r="Q43" i="3"/>
  <c r="Q42" i="3"/>
  <c r="Q41" i="3"/>
  <c r="G17" i="5"/>
  <c r="G17" i="6"/>
  <c r="R36" i="5"/>
  <c r="BA8" i="5" s="1"/>
  <c r="R37" i="5"/>
  <c r="BB12" i="5" s="1"/>
  <c r="Q26" i="4"/>
  <c r="Q26" i="3"/>
  <c r="Q37" i="3"/>
  <c r="Q38" i="3"/>
  <c r="G17" i="2"/>
  <c r="R36" i="2"/>
  <c r="R37" i="2"/>
  <c r="BA9" i="5" l="1"/>
  <c r="AW9" i="6"/>
  <c r="AP9" i="6" s="1"/>
  <c r="AC32" i="6"/>
  <c r="AC31" i="6"/>
  <c r="AC29" i="6"/>
  <c r="AC30" i="6"/>
  <c r="AC33" i="6"/>
  <c r="AW7" i="6"/>
  <c r="AP7" i="6" s="1"/>
  <c r="AZ12" i="5"/>
  <c r="BA7" i="5"/>
  <c r="AY7" i="5" s="1"/>
  <c r="BA16" i="5"/>
  <c r="AY16" i="5" s="1"/>
  <c r="BA15" i="5"/>
  <c r="AY15" i="5" s="1"/>
  <c r="BA11" i="5"/>
  <c r="AY11" i="5" s="1"/>
  <c r="BA13" i="5"/>
  <c r="AY13" i="5" s="1"/>
  <c r="BA14" i="5"/>
  <c r="AY14" i="5" s="1"/>
  <c r="BA10" i="5"/>
  <c r="AY10" i="5" s="1"/>
  <c r="BA12" i="5"/>
  <c r="AY12" i="5" s="1"/>
  <c r="BB7" i="5"/>
  <c r="AZ7" i="5" s="1"/>
  <c r="BB16" i="5"/>
  <c r="AZ16" i="5" s="1"/>
  <c r="BB8" i="5"/>
  <c r="AZ8" i="5" s="1"/>
  <c r="BB15" i="5"/>
  <c r="AZ15" i="5" s="1"/>
  <c r="BB9" i="5"/>
  <c r="AZ9" i="5" s="1"/>
  <c r="BB14" i="5"/>
  <c r="AZ14" i="5" s="1"/>
  <c r="BB11" i="5"/>
  <c r="AZ11" i="5" s="1"/>
  <c r="BB13" i="5"/>
  <c r="AZ13" i="5" s="1"/>
  <c r="BB10" i="5"/>
  <c r="AZ10" i="5" s="1"/>
  <c r="AY8" i="5"/>
  <c r="AY9" i="5"/>
  <c r="S37" i="5"/>
  <c r="S36" i="5"/>
  <c r="AW10" i="6"/>
  <c r="AP10" i="6" s="1"/>
  <c r="AW16" i="6"/>
  <c r="AP16" i="6" s="1"/>
  <c r="AW13" i="6"/>
  <c r="AP13" i="6" s="1"/>
  <c r="AW11" i="6"/>
  <c r="AP11" i="6" s="1"/>
  <c r="AV11" i="2"/>
  <c r="AF11" i="2" s="1"/>
  <c r="AW11" i="2" s="1"/>
  <c r="AP11" i="2" s="1"/>
  <c r="AV15" i="2"/>
  <c r="AF15" i="2" s="1"/>
  <c r="AW15" i="2" s="1"/>
  <c r="AP15" i="2" s="1"/>
  <c r="AV13" i="2"/>
  <c r="AF13" i="2" s="1"/>
  <c r="AW13" i="2" s="1"/>
  <c r="AP13" i="2" s="1"/>
  <c r="AV7" i="2"/>
  <c r="AF7" i="2" s="1"/>
  <c r="AW7" i="2" s="1"/>
  <c r="AP7" i="2" s="1"/>
  <c r="AV16" i="2"/>
  <c r="AF16" i="2" s="1"/>
  <c r="AW16" i="2" s="1"/>
  <c r="AP16" i="2" s="1"/>
  <c r="AV10" i="2"/>
  <c r="AF10" i="2" s="1"/>
  <c r="AW10" i="2" s="1"/>
  <c r="AP10" i="2" s="1"/>
  <c r="AV9" i="2"/>
  <c r="AF9" i="2" s="1"/>
  <c r="AW9" i="2" s="1"/>
  <c r="AP9" i="2" s="1"/>
  <c r="AV8" i="2"/>
  <c r="AF8" i="2" s="1"/>
  <c r="AV14" i="2"/>
  <c r="AF14" i="2" s="1"/>
  <c r="AW14" i="2" s="1"/>
  <c r="AP14" i="2" s="1"/>
  <c r="AV12" i="2"/>
  <c r="AF12" i="2" s="1"/>
  <c r="AW12" i="2" s="1"/>
  <c r="AP12" i="2" s="1"/>
  <c r="Q12" i="6"/>
  <c r="AW12" i="6" s="1"/>
  <c r="AP12" i="6" s="1"/>
  <c r="Q15" i="6"/>
  <c r="AW15" i="6" s="1"/>
  <c r="AP15" i="6" s="1"/>
  <c r="Q8" i="6"/>
  <c r="AW8" i="6" s="1"/>
  <c r="AP8" i="6" s="1"/>
  <c r="Q14" i="6"/>
  <c r="AW14" i="6" s="1"/>
  <c r="AP14" i="6" s="1"/>
  <c r="T17" i="4"/>
  <c r="BH10" i="4"/>
  <c r="BH11" i="4" s="1"/>
  <c r="BH12" i="4" s="1"/>
  <c r="BH6" i="3"/>
  <c r="BJ9" i="3" s="1"/>
  <c r="BK9" i="3" s="1"/>
  <c r="BL9" i="3" s="1"/>
  <c r="AX12" i="4"/>
  <c r="AK12" i="4" s="1"/>
  <c r="AY12" i="4" s="1"/>
  <c r="AP12" i="4" s="1"/>
  <c r="AX11" i="4"/>
  <c r="AK11" i="4" s="1"/>
  <c r="AY11" i="4" s="1"/>
  <c r="AP11" i="4" s="1"/>
  <c r="U38" i="3"/>
  <c r="U37" i="3"/>
  <c r="BH6" i="4"/>
  <c r="D22" i="4"/>
  <c r="D22" i="3"/>
  <c r="D34" i="1"/>
  <c r="C20" i="1" s="1"/>
  <c r="AF13" i="4"/>
  <c r="AX13" i="4" s="1"/>
  <c r="AK13" i="4" s="1"/>
  <c r="AY13" i="4" s="1"/>
  <c r="AP13" i="4" s="1"/>
  <c r="AZ13" i="4"/>
  <c r="BA13" i="4" s="1"/>
  <c r="L13" i="4"/>
  <c r="AW14" i="4"/>
  <c r="AW16" i="4"/>
  <c r="AZ16" i="4" s="1"/>
  <c r="BA16" i="4" s="1"/>
  <c r="AW15" i="4"/>
  <c r="AZ15" i="4" s="1"/>
  <c r="BA15" i="4" s="1"/>
  <c r="AZ8" i="4"/>
  <c r="BA8" i="4" s="1"/>
  <c r="L8" i="4" s="1"/>
  <c r="AF8" i="4" s="1"/>
  <c r="AX8" i="4" s="1"/>
  <c r="AK8" i="4" s="1"/>
  <c r="AY8" i="4" s="1"/>
  <c r="AP8" i="4" s="1"/>
  <c r="AZ9" i="4"/>
  <c r="BA9" i="4" s="1"/>
  <c r="L9" i="4" s="1"/>
  <c r="AF9" i="4" s="1"/>
  <c r="AX9" i="4" s="1"/>
  <c r="AK9" i="4" s="1"/>
  <c r="AY9" i="4" s="1"/>
  <c r="AP9" i="4" s="1"/>
  <c r="AF7" i="4"/>
  <c r="AX7" i="4" s="1"/>
  <c r="AW11" i="3"/>
  <c r="AZ11" i="3" s="1"/>
  <c r="BA11" i="3" s="1"/>
  <c r="AW14" i="3"/>
  <c r="AW10" i="3"/>
  <c r="AZ10" i="3" s="1"/>
  <c r="BA10" i="3" s="1"/>
  <c r="AZ16" i="3"/>
  <c r="BA16" i="3" s="1"/>
  <c r="L16" i="3" s="1"/>
  <c r="AF16" i="3" s="1"/>
  <c r="AX16" i="3" s="1"/>
  <c r="AK16" i="3" s="1"/>
  <c r="AW15" i="3"/>
  <c r="AW13" i="3"/>
  <c r="AW12" i="3"/>
  <c r="AZ12" i="3" s="1"/>
  <c r="BA12" i="3" s="1"/>
  <c r="L12" i="3" s="1"/>
  <c r="AW9" i="3"/>
  <c r="AZ9" i="3" s="1"/>
  <c r="BA9" i="3" s="1"/>
  <c r="L9" i="3" s="1"/>
  <c r="AZ8" i="3"/>
  <c r="BA8" i="3" s="1"/>
  <c r="L8" i="3" s="1"/>
  <c r="L8" i="2"/>
  <c r="AV11" i="5" l="1"/>
  <c r="AV8" i="5"/>
  <c r="AV14" i="5"/>
  <c r="AV13" i="5"/>
  <c r="AV15" i="5"/>
  <c r="AF15" i="5" s="1"/>
  <c r="AV12" i="5"/>
  <c r="AV16" i="5"/>
  <c r="AV7" i="5"/>
  <c r="AV9" i="5"/>
  <c r="AV10" i="5"/>
  <c r="Q10" i="5"/>
  <c r="Q15" i="5"/>
  <c r="Q7" i="5"/>
  <c r="Q14" i="5"/>
  <c r="Q13" i="5"/>
  <c r="Q11" i="5"/>
  <c r="Q12" i="5"/>
  <c r="AW8" i="2"/>
  <c r="AP8" i="2" s="1"/>
  <c r="Q17" i="6"/>
  <c r="AP17" i="6"/>
  <c r="X21" i="6" s="1"/>
  <c r="BJ11" i="4"/>
  <c r="BK11" i="4" s="1"/>
  <c r="BI10" i="4"/>
  <c r="BJ10" i="4" s="1"/>
  <c r="BK10" i="4" s="1"/>
  <c r="BI11" i="4"/>
  <c r="L10" i="3"/>
  <c r="AF10" i="3" s="1"/>
  <c r="AX10" i="3" s="1"/>
  <c r="AK10" i="3" s="1"/>
  <c r="U39" i="3"/>
  <c r="BJ9" i="4"/>
  <c r="BK9" i="4" s="1"/>
  <c r="BL9" i="4" s="1"/>
  <c r="BI12" i="4"/>
  <c r="BJ12" i="4" s="1"/>
  <c r="BK12" i="4" s="1"/>
  <c r="BH13" i="4"/>
  <c r="BI11" i="3"/>
  <c r="BI10" i="3"/>
  <c r="BI12" i="3"/>
  <c r="C26" i="1"/>
  <c r="AE36" i="6"/>
  <c r="X26" i="6" s="1"/>
  <c r="AE37" i="3"/>
  <c r="AE36" i="5"/>
  <c r="X26" i="5" s="1"/>
  <c r="C24" i="1"/>
  <c r="C19" i="1"/>
  <c r="AE36" i="2"/>
  <c r="X26" i="2" s="1"/>
  <c r="AE37" i="4"/>
  <c r="L11" i="3"/>
  <c r="AF11" i="3" s="1"/>
  <c r="AX11" i="3" s="1"/>
  <c r="AK11" i="3" s="1"/>
  <c r="AZ14" i="4"/>
  <c r="BA14" i="4" s="1"/>
  <c r="L14" i="4" s="1"/>
  <c r="AF14" i="4" s="1"/>
  <c r="AX14" i="4" s="1"/>
  <c r="AK14" i="4" s="1"/>
  <c r="AY14" i="4" s="1"/>
  <c r="AP14" i="4" s="1"/>
  <c r="AX15" i="4"/>
  <c r="AK15" i="4" s="1"/>
  <c r="AY15" i="4" s="1"/>
  <c r="AP15" i="4" s="1"/>
  <c r="AF16" i="4"/>
  <c r="AX16" i="4" s="1"/>
  <c r="AK16" i="4" s="1"/>
  <c r="AY16" i="4" s="1"/>
  <c r="AP16" i="4" s="1"/>
  <c r="AZ10" i="4"/>
  <c r="BA10" i="4" s="1"/>
  <c r="L10" i="4" s="1"/>
  <c r="AF10" i="4" s="1"/>
  <c r="AX10" i="4" s="1"/>
  <c r="AK10" i="4" s="1"/>
  <c r="AY10" i="4" s="1"/>
  <c r="AP10" i="4" s="1"/>
  <c r="AK7" i="4"/>
  <c r="AY7" i="4" s="1"/>
  <c r="AF9" i="3"/>
  <c r="AX9" i="3" s="1"/>
  <c r="AK9" i="3" s="1"/>
  <c r="AY9" i="3" s="1"/>
  <c r="AP9" i="3" s="1"/>
  <c r="AZ13" i="3"/>
  <c r="BA13" i="3" s="1"/>
  <c r="L13" i="3" s="1"/>
  <c r="AF13" i="3" s="1"/>
  <c r="AX13" i="3" s="1"/>
  <c r="AK13" i="3" s="1"/>
  <c r="AY13" i="3" s="1"/>
  <c r="AP13" i="3" s="1"/>
  <c r="AF12" i="3"/>
  <c r="AX12" i="3" s="1"/>
  <c r="AK12" i="3" s="1"/>
  <c r="AF8" i="3"/>
  <c r="AX8" i="3" s="1"/>
  <c r="AK8" i="3" s="1"/>
  <c r="AY16" i="3"/>
  <c r="AP16" i="3" s="1"/>
  <c r="AZ15" i="3"/>
  <c r="BA15" i="3" s="1"/>
  <c r="L15" i="3" s="1"/>
  <c r="AF15" i="3" s="1"/>
  <c r="AZ14" i="3"/>
  <c r="BA14" i="3" s="1"/>
  <c r="L14" i="3" s="1"/>
  <c r="AF14" i="3" s="1"/>
  <c r="L17" i="2"/>
  <c r="AP29" i="6" l="1"/>
  <c r="AP33" i="6"/>
  <c r="AG33" i="6"/>
  <c r="AG29" i="6"/>
  <c r="AG32" i="6"/>
  <c r="AG30" i="6"/>
  <c r="AG31" i="6"/>
  <c r="AF9" i="5"/>
  <c r="AF10" i="5"/>
  <c r="AW10" i="5" s="1"/>
  <c r="AP10" i="5" s="1"/>
  <c r="AF8" i="5"/>
  <c r="AF16" i="5"/>
  <c r="AW15" i="5"/>
  <c r="AP15" i="5" s="1"/>
  <c r="AF14" i="5"/>
  <c r="AW14" i="5" s="1"/>
  <c r="AP14" i="5" s="1"/>
  <c r="Q16" i="5"/>
  <c r="AF11" i="5"/>
  <c r="AW11" i="5" s="1"/>
  <c r="AP11" i="5" s="1"/>
  <c r="Q8" i="5"/>
  <c r="AF7" i="5"/>
  <c r="AW7" i="5" s="1"/>
  <c r="AP7" i="5" s="1"/>
  <c r="AF13" i="5"/>
  <c r="AW13" i="5" s="1"/>
  <c r="AP13" i="5" s="1"/>
  <c r="Q9" i="5"/>
  <c r="AF12" i="5"/>
  <c r="AW12" i="5" s="1"/>
  <c r="AP12" i="5" s="1"/>
  <c r="BL10" i="4"/>
  <c r="BL11" i="4" s="1"/>
  <c r="BL12" i="4" s="1"/>
  <c r="BH14" i="4"/>
  <c r="BI13" i="4"/>
  <c r="BJ13" i="4" s="1"/>
  <c r="BK13" i="4" s="1"/>
  <c r="BJ12" i="3"/>
  <c r="BK12" i="3" s="1"/>
  <c r="BJ10" i="3"/>
  <c r="BK10" i="3" s="1"/>
  <c r="BL10" i="3" s="1"/>
  <c r="BJ11" i="3"/>
  <c r="BK11" i="3" s="1"/>
  <c r="BI13" i="3"/>
  <c r="AP7" i="4"/>
  <c r="AP17" i="4" s="1"/>
  <c r="AY8" i="3"/>
  <c r="AP8" i="3" s="1"/>
  <c r="AX14" i="3"/>
  <c r="AK14" i="3" s="1"/>
  <c r="AY10" i="3"/>
  <c r="AP10" i="3" s="1"/>
  <c r="AX15" i="3"/>
  <c r="AK15" i="3" s="1"/>
  <c r="AY11" i="3"/>
  <c r="AP11" i="3" s="1"/>
  <c r="AY12" i="3"/>
  <c r="AP12" i="3" s="1"/>
  <c r="AP17" i="2"/>
  <c r="X21" i="2" s="1"/>
  <c r="AG33" i="2" l="1"/>
  <c r="AG29" i="2"/>
  <c r="AP33" i="2"/>
  <c r="AP29" i="2"/>
  <c r="AG31" i="2"/>
  <c r="AG30" i="2"/>
  <c r="AG32" i="2"/>
  <c r="AW9" i="5"/>
  <c r="AP9" i="5" s="1"/>
  <c r="AW8" i="5"/>
  <c r="AP8" i="5" s="1"/>
  <c r="AW16" i="5"/>
  <c r="AP16" i="5" s="1"/>
  <c r="Q17" i="5"/>
  <c r="BL13" i="4"/>
  <c r="BI14" i="4"/>
  <c r="BJ14" i="4" s="1"/>
  <c r="BK14" i="4" s="1"/>
  <c r="BH15" i="4"/>
  <c r="BL11" i="3"/>
  <c r="BL12" i="3" s="1"/>
  <c r="BJ13" i="3"/>
  <c r="BK13" i="3" s="1"/>
  <c r="BI14" i="3"/>
  <c r="AY15" i="3"/>
  <c r="AP15" i="3" s="1"/>
  <c r="AY14" i="3"/>
  <c r="AP14" i="3" s="1"/>
  <c r="AW7" i="3"/>
  <c r="AZ7" i="3" s="1"/>
  <c r="BA7" i="3" s="1"/>
  <c r="L7" i="3" s="1"/>
  <c r="AF7" i="3" s="1"/>
  <c r="AX7" i="3" s="1"/>
  <c r="AK7" i="3" s="1"/>
  <c r="T17" i="3"/>
  <c r="BL14" i="4" l="1"/>
  <c r="BH16" i="4"/>
  <c r="BI15" i="4"/>
  <c r="BJ15" i="4" s="1"/>
  <c r="BK15" i="4" s="1"/>
  <c r="BL13" i="3"/>
  <c r="BJ14" i="3"/>
  <c r="BK14" i="3" s="1"/>
  <c r="BI15" i="3"/>
  <c r="BI17" i="3"/>
  <c r="BJ17" i="3" s="1"/>
  <c r="BK17" i="3" s="1"/>
  <c r="AP17" i="5"/>
  <c r="X21" i="5" s="1"/>
  <c r="AY7" i="3"/>
  <c r="AP7" i="3" s="1"/>
  <c r="AP17" i="3" s="1"/>
  <c r="AP33" i="5" l="1"/>
  <c r="AP29" i="5"/>
  <c r="AG29" i="5"/>
  <c r="AG30" i="5"/>
  <c r="AG31" i="5"/>
  <c r="AG32" i="5"/>
  <c r="AG33" i="5"/>
  <c r="BL15" i="4"/>
  <c r="BH17" i="4"/>
  <c r="BI17" i="4" s="1"/>
  <c r="BJ17" i="4" s="1"/>
  <c r="BK17" i="4" s="1"/>
  <c r="BI16" i="4"/>
  <c r="BJ16" i="4" s="1"/>
  <c r="BK16" i="4" s="1"/>
  <c r="BL16" i="4" s="1"/>
  <c r="BL14" i="3"/>
  <c r="BJ15" i="3"/>
  <c r="BK15" i="3" s="1"/>
  <c r="BI16" i="3"/>
  <c r="BL17" i="4" l="1"/>
  <c r="BL20" i="4" s="1"/>
  <c r="BL15" i="3"/>
  <c r="BJ16" i="3"/>
  <c r="BK16" i="3" s="1"/>
  <c r="BL16" i="3" s="1"/>
  <c r="BL17" i="3" s="1"/>
  <c r="BH20" i="4" l="1"/>
  <c r="BI20" i="4" s="1"/>
  <c r="BL20" i="3"/>
  <c r="BH20" i="3"/>
  <c r="BH21" i="3" s="1"/>
  <c r="BH22" i="3" s="1"/>
  <c r="BH23" i="3" s="1"/>
  <c r="BH24" i="3" s="1"/>
  <c r="BH25" i="3" s="1"/>
  <c r="BH26" i="3" s="1"/>
  <c r="BH27" i="3" s="1"/>
  <c r="BH28" i="3" s="1"/>
  <c r="BH29" i="3" s="1"/>
  <c r="BH21" i="4" l="1"/>
  <c r="BI21" i="4" s="1"/>
  <c r="BJ21" i="4" s="1"/>
  <c r="BK21" i="4" s="1"/>
  <c r="BL21" i="4" s="1"/>
  <c r="BI20" i="3"/>
  <c r="BH22" i="4" l="1"/>
  <c r="BI22" i="4" s="1"/>
  <c r="BJ22" i="4" s="1"/>
  <c r="BK22" i="4" s="1"/>
  <c r="BL22" i="4" s="1"/>
  <c r="BI21" i="3"/>
  <c r="BJ21" i="3" s="1"/>
  <c r="BK21" i="3" s="1"/>
  <c r="BL21" i="3" s="1"/>
  <c r="BH23" i="4" l="1"/>
  <c r="BH24" i="4" s="1"/>
  <c r="BI22" i="3"/>
  <c r="BJ22" i="3" s="1"/>
  <c r="BK22" i="3" s="1"/>
  <c r="BL22" i="3" s="1"/>
  <c r="BI23" i="4" l="1"/>
  <c r="BJ23" i="4" s="1"/>
  <c r="BK23" i="4" s="1"/>
  <c r="BL23" i="4" s="1"/>
  <c r="BH25" i="4"/>
  <c r="BI24" i="4"/>
  <c r="BJ24" i="4" s="1"/>
  <c r="BK24" i="4" s="1"/>
  <c r="BI23" i="3"/>
  <c r="BJ23" i="3" s="1"/>
  <c r="BK23" i="3" s="1"/>
  <c r="BL23" i="3" s="1"/>
  <c r="BL24" i="4" l="1"/>
  <c r="BH26" i="4"/>
  <c r="BI25" i="4"/>
  <c r="BJ25" i="4" s="1"/>
  <c r="BK25" i="4" s="1"/>
  <c r="BL25" i="4" s="1"/>
  <c r="BI24" i="3"/>
  <c r="BJ24" i="3" s="1"/>
  <c r="BK24" i="3" s="1"/>
  <c r="BL24" i="3" s="1"/>
  <c r="BH27" i="4" l="1"/>
  <c r="BI26" i="4"/>
  <c r="BJ26" i="4" s="1"/>
  <c r="BK26" i="4" s="1"/>
  <c r="BL26" i="4" s="1"/>
  <c r="BI25" i="3"/>
  <c r="BJ25" i="3" s="1"/>
  <c r="BK25" i="3" s="1"/>
  <c r="BL25" i="3" s="1"/>
  <c r="BI27" i="4" l="1"/>
  <c r="BJ27" i="4" s="1"/>
  <c r="BK27" i="4" s="1"/>
  <c r="BL27" i="4" s="1"/>
  <c r="BH28" i="4"/>
  <c r="BI26" i="3"/>
  <c r="BJ26" i="3" s="1"/>
  <c r="BK26" i="3" s="1"/>
  <c r="BL26" i="3" s="1"/>
  <c r="BH29" i="4" l="1"/>
  <c r="BI29" i="4" s="1"/>
  <c r="BJ29" i="4" s="1"/>
  <c r="BK29" i="4" s="1"/>
  <c r="BI28" i="4"/>
  <c r="BJ28" i="4" s="1"/>
  <c r="BK28" i="4" s="1"/>
  <c r="BL28" i="4" s="1"/>
  <c r="BI27" i="3"/>
  <c r="BJ27" i="3" s="1"/>
  <c r="BK27" i="3" s="1"/>
  <c r="BL27" i="3" s="1"/>
  <c r="BL29" i="4" l="1"/>
  <c r="BI28" i="3"/>
  <c r="BJ28" i="3" s="1"/>
  <c r="BK28" i="3" s="1"/>
  <c r="BL28" i="3" s="1"/>
  <c r="BI29" i="3"/>
  <c r="BJ29" i="3" s="1"/>
  <c r="BK29" i="3" s="1"/>
  <c r="BL31" i="4" l="1"/>
  <c r="BH31" i="4"/>
  <c r="BH32" i="4" s="1"/>
  <c r="BL29" i="3"/>
  <c r="BH31" i="3" s="1"/>
  <c r="BH32" i="3" s="1"/>
  <c r="BH33" i="3" s="1"/>
  <c r="BH34" i="3" s="1"/>
  <c r="BH35" i="3" s="1"/>
  <c r="BH36" i="3" s="1"/>
  <c r="BH37" i="3" s="1"/>
  <c r="BH38" i="3" s="1"/>
  <c r="BH39" i="3" s="1"/>
  <c r="BH40" i="3" s="1"/>
  <c r="BI32" i="4" l="1"/>
  <c r="BJ32" i="4" s="1"/>
  <c r="BK32" i="4" s="1"/>
  <c r="BL32" i="4" s="1"/>
  <c r="BH33" i="4"/>
  <c r="BL31" i="3"/>
  <c r="BI32" i="3"/>
  <c r="BJ32" i="3" s="1"/>
  <c r="BK32" i="3" s="1"/>
  <c r="BL32" i="3" s="1"/>
  <c r="BH34" i="4" l="1"/>
  <c r="BI33" i="4"/>
  <c r="BJ33" i="4" s="1"/>
  <c r="BK33" i="4" s="1"/>
  <c r="BL33" i="4" s="1"/>
  <c r="BI33" i="3"/>
  <c r="BJ33" i="3" s="1"/>
  <c r="BK33" i="3" s="1"/>
  <c r="BL33" i="3" s="1"/>
  <c r="BH35" i="4" l="1"/>
  <c r="BI34" i="4"/>
  <c r="BJ34" i="4" s="1"/>
  <c r="BK34" i="4" s="1"/>
  <c r="BL34" i="4" s="1"/>
  <c r="BI34" i="3"/>
  <c r="BJ34" i="3" s="1"/>
  <c r="BK34" i="3" s="1"/>
  <c r="BL34" i="3" s="1"/>
  <c r="BI35" i="4" l="1"/>
  <c r="BJ35" i="4" s="1"/>
  <c r="BK35" i="4" s="1"/>
  <c r="BL35" i="4" s="1"/>
  <c r="BH36" i="4"/>
  <c r="BI35" i="3"/>
  <c r="BJ35" i="3" s="1"/>
  <c r="BK35" i="3" s="1"/>
  <c r="BL35" i="3" s="1"/>
  <c r="BH37" i="4" l="1"/>
  <c r="BI36" i="4"/>
  <c r="BJ36" i="4" s="1"/>
  <c r="BK36" i="4" s="1"/>
  <c r="BL36" i="4" s="1"/>
  <c r="BI36" i="3"/>
  <c r="BJ36" i="3" s="1"/>
  <c r="BK36" i="3" s="1"/>
  <c r="BL36" i="3" s="1"/>
  <c r="BI37" i="4" l="1"/>
  <c r="BJ37" i="4" s="1"/>
  <c r="BK37" i="4" s="1"/>
  <c r="BL37" i="4" s="1"/>
  <c r="BH38" i="4"/>
  <c r="BI37" i="3"/>
  <c r="BJ37" i="3" s="1"/>
  <c r="BK37" i="3" s="1"/>
  <c r="BL37" i="3" s="1"/>
  <c r="BI38" i="4" l="1"/>
  <c r="BJ38" i="4" s="1"/>
  <c r="BK38" i="4" s="1"/>
  <c r="BL38" i="4" s="1"/>
  <c r="BH39" i="4"/>
  <c r="BI38" i="3"/>
  <c r="BJ38" i="3" s="1"/>
  <c r="BK38" i="3" s="1"/>
  <c r="BL38" i="3" s="1"/>
  <c r="BH40" i="4" l="1"/>
  <c r="BI40" i="4" s="1"/>
  <c r="BJ40" i="4" s="1"/>
  <c r="BK40" i="4" s="1"/>
  <c r="BI39" i="4"/>
  <c r="BJ39" i="4" s="1"/>
  <c r="BK39" i="4" s="1"/>
  <c r="BL39" i="4" s="1"/>
  <c r="BI40" i="3"/>
  <c r="BJ40" i="3" s="1"/>
  <c r="BK40" i="3" s="1"/>
  <c r="BI39" i="3"/>
  <c r="BJ39" i="3" s="1"/>
  <c r="BK39" i="3" s="1"/>
  <c r="BL39" i="3" s="1"/>
  <c r="BL40" i="4" l="1"/>
  <c r="BH42" i="4" s="1"/>
  <c r="BH43" i="4" s="1"/>
  <c r="BL40" i="3"/>
  <c r="BL42" i="3" s="1"/>
  <c r="BL42" i="4" l="1"/>
  <c r="BI43" i="4"/>
  <c r="BJ43" i="4" s="1"/>
  <c r="BK43" i="4" s="1"/>
  <c r="BL43" i="4" s="1"/>
  <c r="BH44" i="4"/>
  <c r="BH42" i="3"/>
  <c r="BH43" i="3" s="1"/>
  <c r="BH44" i="3" s="1"/>
  <c r="BH45" i="3" s="1"/>
  <c r="BH46" i="3" s="1"/>
  <c r="BH47" i="3" s="1"/>
  <c r="BH48" i="3" s="1"/>
  <c r="BH49" i="3" s="1"/>
  <c r="BH50" i="3" s="1"/>
  <c r="BH51" i="3" s="1"/>
  <c r="BH45" i="4" l="1"/>
  <c r="BI44" i="4"/>
  <c r="BJ44" i="4" s="1"/>
  <c r="BK44" i="4" s="1"/>
  <c r="BL44" i="4" s="1"/>
  <c r="BI43" i="3"/>
  <c r="BJ43" i="3" s="1"/>
  <c r="BK43" i="3" s="1"/>
  <c r="BL43" i="3" s="1"/>
  <c r="BI44" i="3"/>
  <c r="BJ44" i="3" s="1"/>
  <c r="BK44" i="3" s="1"/>
  <c r="BI45" i="4" l="1"/>
  <c r="BJ45" i="4" s="1"/>
  <c r="BK45" i="4" s="1"/>
  <c r="BL45" i="4" s="1"/>
  <c r="BH46" i="4"/>
  <c r="BL44" i="3"/>
  <c r="BI45" i="3"/>
  <c r="BJ45" i="3" s="1"/>
  <c r="BK45" i="3" s="1"/>
  <c r="BL45" i="3" s="1"/>
  <c r="BI46" i="4" l="1"/>
  <c r="BJ46" i="4" s="1"/>
  <c r="BK46" i="4" s="1"/>
  <c r="BL46" i="4" s="1"/>
  <c r="BH47" i="4"/>
  <c r="BI46" i="3"/>
  <c r="BJ46" i="3" s="1"/>
  <c r="BK46" i="3" s="1"/>
  <c r="BL46" i="3" s="1"/>
  <c r="BH48" i="4" l="1"/>
  <c r="BI47" i="4"/>
  <c r="BJ47" i="4" s="1"/>
  <c r="BK47" i="4" s="1"/>
  <c r="BL47" i="4" s="1"/>
  <c r="BI47" i="3"/>
  <c r="BJ47" i="3" s="1"/>
  <c r="BK47" i="3" s="1"/>
  <c r="BL47" i="3" s="1"/>
  <c r="BI48" i="4" l="1"/>
  <c r="BJ48" i="4" s="1"/>
  <c r="BK48" i="4" s="1"/>
  <c r="BL48" i="4" s="1"/>
  <c r="BH49" i="4"/>
  <c r="BI48" i="3"/>
  <c r="BJ48" i="3" s="1"/>
  <c r="BK48" i="3" s="1"/>
  <c r="BL48" i="3" s="1"/>
  <c r="BH50" i="4" l="1"/>
  <c r="BI49" i="4"/>
  <c r="BJ49" i="4" s="1"/>
  <c r="BK49" i="4" s="1"/>
  <c r="BL49" i="4" s="1"/>
  <c r="BI49" i="3"/>
  <c r="BJ49" i="3" s="1"/>
  <c r="BK49" i="3" s="1"/>
  <c r="BL49" i="3" s="1"/>
  <c r="BH51" i="4" l="1"/>
  <c r="BI51" i="4" s="1"/>
  <c r="BJ51" i="4" s="1"/>
  <c r="BK51" i="4" s="1"/>
  <c r="BI50" i="4"/>
  <c r="BJ50" i="4" s="1"/>
  <c r="BK50" i="4" s="1"/>
  <c r="BL50" i="4" s="1"/>
  <c r="BI51" i="3"/>
  <c r="BJ51" i="3" s="1"/>
  <c r="BK51" i="3" s="1"/>
  <c r="BI50" i="3"/>
  <c r="BJ50" i="3" s="1"/>
  <c r="BK50" i="3" s="1"/>
  <c r="BL50" i="3" s="1"/>
  <c r="BL51" i="4" l="1"/>
  <c r="BL51" i="3"/>
  <c r="BL53" i="3" s="1"/>
  <c r="BL53" i="4" l="1"/>
  <c r="BH53" i="4"/>
  <c r="BH54" i="4" s="1"/>
  <c r="BH53" i="3"/>
  <c r="BI54" i="4" l="1"/>
  <c r="BJ54" i="4" s="1"/>
  <c r="BK54" i="4" s="1"/>
  <c r="BL54" i="4" s="1"/>
  <c r="BH55" i="4"/>
  <c r="BH54" i="3"/>
  <c r="BH55" i="3" s="1"/>
  <c r="BH56" i="3" s="1"/>
  <c r="BH57" i="3" s="1"/>
  <c r="BH58" i="3" s="1"/>
  <c r="BH59" i="3" s="1"/>
  <c r="BH60" i="3" s="1"/>
  <c r="BH61" i="3" s="1"/>
  <c r="BH62" i="3" s="1"/>
  <c r="BH56" i="4" l="1"/>
  <c r="BI55" i="4"/>
  <c r="BJ55" i="4" s="1"/>
  <c r="BK55" i="4" s="1"/>
  <c r="BL55" i="4" s="1"/>
  <c r="BI56" i="3"/>
  <c r="BJ56" i="3" s="1"/>
  <c r="BK56" i="3" s="1"/>
  <c r="BI55" i="3"/>
  <c r="BJ55" i="3" s="1"/>
  <c r="BK55" i="3" s="1"/>
  <c r="BI54" i="3"/>
  <c r="BJ54" i="3" s="1"/>
  <c r="BK54" i="3" s="1"/>
  <c r="BL54" i="3" s="1"/>
  <c r="BI57" i="3"/>
  <c r="BI56" i="4" l="1"/>
  <c r="BJ56" i="4" s="1"/>
  <c r="BK56" i="4" s="1"/>
  <c r="BL56" i="4" s="1"/>
  <c r="BH57" i="4"/>
  <c r="BL55" i="3"/>
  <c r="BL56" i="3" s="1"/>
  <c r="BJ57" i="3"/>
  <c r="BK57" i="3" s="1"/>
  <c r="BI58" i="3"/>
  <c r="BH58" i="4" l="1"/>
  <c r="BI57" i="4"/>
  <c r="BJ57" i="4" s="1"/>
  <c r="BK57" i="4" s="1"/>
  <c r="BL57" i="4" s="1"/>
  <c r="BL57" i="3"/>
  <c r="BJ58" i="3"/>
  <c r="BK58" i="3" s="1"/>
  <c r="BL58" i="3" s="1"/>
  <c r="BI59" i="3"/>
  <c r="BH59" i="4" l="1"/>
  <c r="BI58" i="4"/>
  <c r="BJ58" i="4" s="1"/>
  <c r="BK58" i="4" s="1"/>
  <c r="BL58" i="4" s="1"/>
  <c r="BJ59" i="3"/>
  <c r="BK59" i="3" s="1"/>
  <c r="BL59" i="3" s="1"/>
  <c r="BI60" i="3"/>
  <c r="BI59" i="4" l="1"/>
  <c r="BJ59" i="4" s="1"/>
  <c r="BK59" i="4" s="1"/>
  <c r="BL59" i="4" s="1"/>
  <c r="BH60" i="4"/>
  <c r="BJ60" i="3"/>
  <c r="BK60" i="3" s="1"/>
  <c r="BL60" i="3" s="1"/>
  <c r="BI61" i="3"/>
  <c r="BI62" i="3"/>
  <c r="BH61" i="4" l="1"/>
  <c r="BI60" i="4"/>
  <c r="BJ60" i="4" s="1"/>
  <c r="BK60" i="4" s="1"/>
  <c r="BL60" i="4" s="1"/>
  <c r="BJ61" i="3"/>
  <c r="BK61" i="3" s="1"/>
  <c r="BL61" i="3" s="1"/>
  <c r="BJ62" i="3"/>
  <c r="BK62" i="3" s="1"/>
  <c r="BI61" i="4" l="1"/>
  <c r="BJ61" i="4" s="1"/>
  <c r="BK61" i="4" s="1"/>
  <c r="BL61" i="4" s="1"/>
  <c r="BH62" i="4"/>
  <c r="BI62" i="4" s="1"/>
  <c r="BJ62" i="4" s="1"/>
  <c r="BK62" i="4" s="1"/>
  <c r="BL62" i="3"/>
  <c r="BL62" i="4" l="1"/>
  <c r="BL64" i="4" s="1"/>
  <c r="BH64" i="3"/>
  <c r="BH65" i="3" s="1"/>
  <c r="BL64" i="3"/>
  <c r="BH64" i="4" l="1"/>
  <c r="BH65" i="4" s="1"/>
  <c r="BI65" i="4" s="1"/>
  <c r="BJ65" i="4" s="1"/>
  <c r="BK65" i="4" s="1"/>
  <c r="BL65" i="4" s="1"/>
  <c r="BI65" i="3"/>
  <c r="BJ65" i="3" s="1"/>
  <c r="BK65" i="3" s="1"/>
  <c r="BL65" i="3" s="1"/>
  <c r="BH66" i="3"/>
  <c r="BH66" i="4" l="1"/>
  <c r="BH67" i="4" s="1"/>
  <c r="BH67" i="3"/>
  <c r="BI66" i="3"/>
  <c r="BJ66" i="3" s="1"/>
  <c r="BK66" i="3" s="1"/>
  <c r="BL66" i="3" s="1"/>
  <c r="BI66" i="4" l="1"/>
  <c r="BJ66" i="4" s="1"/>
  <c r="BK66" i="4" s="1"/>
  <c r="BL66" i="4" s="1"/>
  <c r="BI67" i="4"/>
  <c r="BJ67" i="4" s="1"/>
  <c r="BK67" i="4" s="1"/>
  <c r="BL67" i="4" s="1"/>
  <c r="BH68" i="4"/>
  <c r="BH68" i="3"/>
  <c r="BI67" i="3"/>
  <c r="BJ67" i="3" s="1"/>
  <c r="BK67" i="3" s="1"/>
  <c r="BL67" i="3" s="1"/>
  <c r="BH69" i="4" l="1"/>
  <c r="BI68" i="4"/>
  <c r="BJ68" i="4" s="1"/>
  <c r="BK68" i="4" s="1"/>
  <c r="BL68" i="4" s="1"/>
  <c r="BH69" i="3"/>
  <c r="BI68" i="3"/>
  <c r="BJ68" i="3" s="1"/>
  <c r="BK68" i="3" s="1"/>
  <c r="BL68" i="3" s="1"/>
  <c r="BI69" i="4" l="1"/>
  <c r="BJ69" i="4" s="1"/>
  <c r="BK69" i="4" s="1"/>
  <c r="BL69" i="4" s="1"/>
  <c r="BH70" i="4"/>
  <c r="BH70" i="3"/>
  <c r="BI69" i="3"/>
  <c r="BJ69" i="3" s="1"/>
  <c r="BK69" i="3" s="1"/>
  <c r="BL69" i="3" s="1"/>
  <c r="BI70" i="4" l="1"/>
  <c r="BJ70" i="4" s="1"/>
  <c r="BK70" i="4" s="1"/>
  <c r="BL70" i="4" s="1"/>
  <c r="BH71" i="4"/>
  <c r="BH71" i="3"/>
  <c r="BI70" i="3"/>
  <c r="BJ70" i="3" s="1"/>
  <c r="BK70" i="3" s="1"/>
  <c r="BL70" i="3" s="1"/>
  <c r="BH72" i="4" l="1"/>
  <c r="BI71" i="4"/>
  <c r="BJ71" i="4" s="1"/>
  <c r="BK71" i="4" s="1"/>
  <c r="BL71" i="4" s="1"/>
  <c r="BH72" i="3"/>
  <c r="BI71" i="3"/>
  <c r="BJ71" i="3" s="1"/>
  <c r="BK71" i="3" s="1"/>
  <c r="BL71" i="3" s="1"/>
  <c r="BI72" i="4" l="1"/>
  <c r="BJ72" i="4" s="1"/>
  <c r="BK72" i="4" s="1"/>
  <c r="BL72" i="4" s="1"/>
  <c r="BH73" i="4"/>
  <c r="BH73" i="3"/>
  <c r="BI72" i="3"/>
  <c r="BJ72" i="3" s="1"/>
  <c r="BK72" i="3" s="1"/>
  <c r="BL72" i="3" s="1"/>
  <c r="BI73" i="3" l="1"/>
  <c r="BJ73" i="3" s="1"/>
  <c r="BK73" i="3" s="1"/>
  <c r="BL73" i="3" s="1"/>
  <c r="BH74" i="3"/>
  <c r="BI74" i="3" s="1"/>
  <c r="BJ74" i="3" s="1"/>
  <c r="BK74" i="3" s="1"/>
  <c r="BI73" i="4"/>
  <c r="BJ73" i="4" s="1"/>
  <c r="BK73" i="4" s="1"/>
  <c r="BL73" i="4" s="1"/>
  <c r="BH74" i="4"/>
  <c r="BI74" i="4" s="1"/>
  <c r="BJ74" i="4" s="1"/>
  <c r="BK74" i="4" s="1"/>
  <c r="BL74" i="3" l="1"/>
  <c r="BL76" i="3" s="1"/>
  <c r="X22" i="3" s="1"/>
  <c r="BL74" i="4"/>
  <c r="BL76" i="4" s="1"/>
  <c r="AL22" i="4" l="1"/>
  <c r="X22" i="4" s="1"/>
  <c r="AG30" i="3"/>
  <c r="AG33" i="3"/>
  <c r="AG34" i="3"/>
  <c r="AP34" i="3"/>
  <c r="AP30" i="3"/>
  <c r="AG31" i="3"/>
  <c r="AG32" i="3"/>
  <c r="AG32" i="4" l="1"/>
  <c r="AG34" i="4"/>
  <c r="AG33" i="4"/>
  <c r="AG30" i="4"/>
  <c r="AG31" i="4"/>
  <c r="AP30" i="4"/>
  <c r="AP34" i="4"/>
</calcChain>
</file>

<file path=xl/sharedStrings.xml><?xml version="1.0" encoding="utf-8"?>
<sst xmlns="http://schemas.openxmlformats.org/spreadsheetml/2006/main" count="278" uniqueCount="180">
  <si>
    <t>Remarks</t>
    <phoneticPr fontId="1"/>
  </si>
  <si>
    <t>Test time (h)</t>
    <phoneticPr fontId="1"/>
  </si>
  <si>
    <t>Amount</t>
    <phoneticPr fontId="1"/>
  </si>
  <si>
    <t>Typical voltage (V)</t>
    <phoneticPr fontId="1"/>
  </si>
  <si>
    <t>Temp. (°C)</t>
    <phoneticPr fontId="1"/>
  </si>
  <si>
    <t>Voltage (V)</t>
    <phoneticPr fontId="1"/>
  </si>
  <si>
    <t>Sample size (pcs)</t>
    <phoneticPr fontId="1"/>
  </si>
  <si>
    <t>Ea</t>
    <phoneticPr fontId="1"/>
  </si>
  <si>
    <t>Value m of the Weibull distribution</t>
    <phoneticPr fontId="1"/>
  </si>
  <si>
    <t>Confidence level (C.L.)  (%)</t>
    <phoneticPr fontId="1"/>
  </si>
  <si>
    <t>Vapor pressure (kPa)</t>
    <phoneticPr fontId="1"/>
  </si>
  <si>
    <t>Test time (h)</t>
    <phoneticPr fontId="1"/>
  </si>
  <si>
    <t>Temp. (C)</t>
    <phoneticPr fontId="1"/>
  </si>
  <si>
    <t>Humidity (%)</t>
    <phoneticPr fontId="1"/>
  </si>
  <si>
    <t>Sampling%
@C.L. (%)</t>
    <phoneticPr fontId="1"/>
  </si>
  <si>
    <t>Sample size (pcs)</t>
    <phoneticPr fontId="1"/>
  </si>
  <si>
    <t>Test time (h)</t>
    <phoneticPr fontId="1"/>
  </si>
  <si>
    <t>Cumulative failure
 on the lifetime (%)</t>
    <phoneticPr fontId="1"/>
  </si>
  <si>
    <t>Value m of the Weibull distribution</t>
    <phoneticPr fontId="1"/>
  </si>
  <si>
    <t>Confidence level (C.L.)  (%)</t>
    <phoneticPr fontId="1"/>
  </si>
  <si>
    <t>Temp. (C)</t>
    <phoneticPr fontId="1"/>
  </si>
  <si>
    <t>Humidity (%)</t>
    <phoneticPr fontId="1"/>
  </si>
  <si>
    <t>V. pressure(kPa)</t>
    <phoneticPr fontId="1"/>
  </si>
  <si>
    <t>Sampling%
@C.L. (%)</t>
    <phoneticPr fontId="1"/>
  </si>
  <si>
    <t>Sample size (pcs)</t>
    <phoneticPr fontId="1"/>
  </si>
  <si>
    <t>Value m of the Weibull distribution</t>
    <phoneticPr fontId="1"/>
  </si>
  <si>
    <t>Confidence level (C.L.)  (%)</t>
    <phoneticPr fontId="1"/>
  </si>
  <si>
    <t>Test time (cyc.)</t>
    <phoneticPr fontId="1"/>
  </si>
  <si>
    <t>High temp. (°C)</t>
    <phoneticPr fontId="1"/>
  </si>
  <si>
    <t>Low temp. (°C)</t>
    <phoneticPr fontId="1"/>
  </si>
  <si>
    <t>n</t>
    <phoneticPr fontId="1"/>
  </si>
  <si>
    <t>Test time (cyc)</t>
    <phoneticPr fontId="1"/>
  </si>
  <si>
    <t>Test time (h)</t>
    <phoneticPr fontId="1"/>
  </si>
  <si>
    <t>Ea</t>
    <phoneticPr fontId="1"/>
  </si>
  <si>
    <t>B</t>
    <phoneticPr fontId="1"/>
  </si>
  <si>
    <t>n</t>
    <phoneticPr fontId="1"/>
  </si>
  <si>
    <t>n</t>
    <phoneticPr fontId="1"/>
  </si>
  <si>
    <t>m</t>
    <phoneticPr fontId="1"/>
  </si>
  <si>
    <t>n1</t>
    <phoneticPr fontId="1"/>
  </si>
  <si>
    <t>n2</t>
    <phoneticPr fontId="1"/>
  </si>
  <si>
    <t>n1</t>
    <phoneticPr fontId="1"/>
  </si>
  <si>
    <t>n2</t>
    <phoneticPr fontId="1"/>
  </si>
  <si>
    <t>m</t>
    <phoneticPr fontId="1"/>
  </si>
  <si>
    <t>α</t>
    <phoneticPr fontId="1"/>
  </si>
  <si>
    <t>m</t>
    <phoneticPr fontId="1"/>
  </si>
  <si>
    <t>β</t>
    <phoneticPr fontId="1"/>
  </si>
  <si>
    <t>Value m of the Weibull distribution</t>
    <phoneticPr fontId="1"/>
  </si>
  <si>
    <t>Temp. (°C)</t>
    <phoneticPr fontId="1"/>
  </si>
  <si>
    <t>Amount (h)</t>
    <phoneticPr fontId="1"/>
  </si>
  <si>
    <t>Diffusivity d0</t>
    <phoneticPr fontId="1"/>
  </si>
  <si>
    <t>Amount (h)</t>
    <phoneticPr fontId="1"/>
  </si>
  <si>
    <t>n</t>
    <phoneticPr fontId="1"/>
  </si>
  <si>
    <t>m</t>
    <phoneticPr fontId="1"/>
  </si>
  <si>
    <t>Ea</t>
    <phoneticPr fontId="1"/>
  </si>
  <si>
    <t>m</t>
    <phoneticPr fontId="1"/>
  </si>
  <si>
    <t>Remarks</t>
    <phoneticPr fontId="1"/>
  </si>
  <si>
    <t>Remarks</t>
    <phoneticPr fontId="1"/>
  </si>
  <si>
    <t>Remarks</t>
    <phoneticPr fontId="1"/>
  </si>
  <si>
    <t>Amount (h)</t>
    <phoneticPr fontId="1"/>
  </si>
  <si>
    <t>Amount</t>
    <phoneticPr fontId="1"/>
  </si>
  <si>
    <t>Amount (cyc.)</t>
    <phoneticPr fontId="1"/>
  </si>
  <si>
    <t>ΔT (°C)</t>
    <phoneticPr fontId="1"/>
  </si>
  <si>
    <r>
      <rPr>
        <sz val="12"/>
        <rFont val="HGS創英角ｺﾞｼｯｸUB"/>
        <family val="3"/>
        <charset val="128"/>
      </rPr>
      <t>サンプル数と試験時間</t>
    </r>
    <r>
      <rPr>
        <b/>
        <sz val="12"/>
        <rFont val="Arial"/>
        <family val="2"/>
      </rPr>
      <t xml:space="preserve">  The sample size &amp; the test time</t>
    </r>
    <r>
      <rPr>
        <b/>
        <sz val="12"/>
        <rFont val="ＭＳ Ｐゴシック"/>
        <family val="3"/>
        <charset val="128"/>
      </rPr>
      <t/>
    </r>
    <phoneticPr fontId="1"/>
  </si>
  <si>
    <r>
      <rPr>
        <sz val="12"/>
        <rFont val="HGS創英角ｺﾞｼｯｸUB"/>
        <family val="3"/>
        <charset val="128"/>
      </rPr>
      <t>サンプル数と試験サイクル数</t>
    </r>
    <r>
      <rPr>
        <b/>
        <sz val="12"/>
        <rFont val="Arial"/>
        <family val="2"/>
      </rPr>
      <t xml:space="preserve">  The sample size &amp; the test cycle</t>
    </r>
    <rPh sb="12" eb="13">
      <t>スウ</t>
    </rPh>
    <phoneticPr fontId="1"/>
  </si>
  <si>
    <r>
      <rPr>
        <sz val="12"/>
        <rFont val="HGS創英角ｺﾞｼｯｸUB"/>
        <family val="3"/>
        <charset val="128"/>
      </rPr>
      <t>加速モデル</t>
    </r>
    <r>
      <rPr>
        <b/>
        <sz val="12"/>
        <rFont val="Arial"/>
        <family val="2"/>
      </rPr>
      <t xml:space="preserve">  Acceleration mode</t>
    </r>
    <r>
      <rPr>
        <b/>
        <sz val="12"/>
        <rFont val="ＭＳ Ｐゴシック"/>
        <family val="3"/>
        <charset val="128"/>
      </rPr>
      <t>ｌ</t>
    </r>
    <r>
      <rPr>
        <b/>
        <sz val="12"/>
        <rFont val="Arial"/>
        <family val="2"/>
      </rPr>
      <t>:</t>
    </r>
    <phoneticPr fontId="1"/>
  </si>
  <si>
    <t>Typ. Voltage (V)</t>
    <phoneticPr fontId="1"/>
  </si>
  <si>
    <t>Thickness (mm)</t>
    <phoneticPr fontId="1"/>
  </si>
  <si>
    <t>Sampling%
@C.L. (%)</t>
    <phoneticPr fontId="1"/>
  </si>
  <si>
    <t>Sample size (pcs)</t>
    <phoneticPr fontId="1"/>
  </si>
  <si>
    <t>(%)</t>
    <phoneticPr fontId="1"/>
  </si>
  <si>
    <r>
      <rPr>
        <sz val="11"/>
        <rFont val="HGS創英角ｺﾞｼｯｸUB"/>
        <family val="3"/>
        <charset val="128"/>
      </rPr>
      <t>温度サイクル試験条件</t>
    </r>
    <r>
      <rPr>
        <b/>
        <sz val="11"/>
        <rFont val="Arial"/>
        <family val="2"/>
      </rPr>
      <t xml:space="preserve">  Temp. Cycle test conditions</t>
    </r>
    <rPh sb="0" eb="2">
      <t>オンド</t>
    </rPh>
    <phoneticPr fontId="1"/>
  </si>
  <si>
    <r>
      <rPr>
        <sz val="11"/>
        <rFont val="HGS創英角ｺﾞｼｯｸUB"/>
        <family val="3"/>
        <charset val="128"/>
      </rPr>
      <t>高温保存試験条件</t>
    </r>
    <r>
      <rPr>
        <b/>
        <sz val="11"/>
        <rFont val="Arial"/>
        <family val="2"/>
      </rPr>
      <t xml:space="preserve">  High Temp. Storage test conditions</t>
    </r>
    <rPh sb="0" eb="2">
      <t>コウオン</t>
    </rPh>
    <rPh sb="2" eb="4">
      <t>ホゾン</t>
    </rPh>
    <phoneticPr fontId="1"/>
  </si>
  <si>
    <r>
      <rPr>
        <sz val="14"/>
        <color indexed="9"/>
        <rFont val="HGS創英角ｺﾞｼｯｸUB"/>
        <family val="3"/>
        <charset val="128"/>
      </rPr>
      <t>高温高湿バイアス</t>
    </r>
    <r>
      <rPr>
        <b/>
        <sz val="14"/>
        <color indexed="9"/>
        <rFont val="Arial"/>
        <family val="2"/>
      </rPr>
      <t xml:space="preserve">  Temperature Humidity Bias </t>
    </r>
    <phoneticPr fontId="1"/>
  </si>
  <si>
    <r>
      <rPr>
        <sz val="14"/>
        <color indexed="9"/>
        <rFont val="HGS創英角ｺﾞｼｯｸUB"/>
        <family val="3"/>
        <charset val="128"/>
      </rPr>
      <t>高温高湿保存</t>
    </r>
    <r>
      <rPr>
        <b/>
        <sz val="14"/>
        <color indexed="9"/>
        <rFont val="Arial"/>
        <family val="2"/>
      </rPr>
      <t xml:space="preserve">  Temparature Humidity Storage </t>
    </r>
    <phoneticPr fontId="1"/>
  </si>
  <si>
    <r>
      <rPr>
        <sz val="14"/>
        <color indexed="9"/>
        <rFont val="HGS創英角ｺﾞｼｯｸUB"/>
        <family val="3"/>
        <charset val="128"/>
      </rPr>
      <t>高温保存</t>
    </r>
    <r>
      <rPr>
        <sz val="14"/>
        <color indexed="9"/>
        <rFont val="Arial"/>
        <family val="2"/>
      </rPr>
      <t xml:space="preserve">  </t>
    </r>
    <r>
      <rPr>
        <b/>
        <sz val="14"/>
        <color indexed="9"/>
        <rFont val="Arial"/>
        <family val="2"/>
      </rPr>
      <t>High Temperature Storage</t>
    </r>
    <phoneticPr fontId="1"/>
  </si>
  <si>
    <r>
      <rPr>
        <sz val="14"/>
        <color indexed="9"/>
        <rFont val="HGS創英角ｺﾞｼｯｸUB"/>
        <family val="3"/>
        <charset val="128"/>
      </rPr>
      <t>温度サイクル</t>
    </r>
    <r>
      <rPr>
        <b/>
        <sz val="14"/>
        <color indexed="9"/>
        <rFont val="Arial"/>
        <family val="2"/>
      </rPr>
      <t xml:space="preserve">  Temperature Cycle</t>
    </r>
    <phoneticPr fontId="1"/>
  </si>
  <si>
    <r>
      <rPr>
        <sz val="14"/>
        <color indexed="9"/>
        <rFont val="HGS創英角ｺﾞｼｯｸUB"/>
        <family val="3"/>
        <charset val="128"/>
      </rPr>
      <t>高温動作寿命</t>
    </r>
    <r>
      <rPr>
        <sz val="14"/>
        <color indexed="9"/>
        <rFont val="Arial"/>
        <family val="2"/>
      </rPr>
      <t xml:space="preserve"> </t>
    </r>
    <r>
      <rPr>
        <b/>
        <sz val="14"/>
        <color indexed="9"/>
        <rFont val="Arial"/>
        <family val="2"/>
      </rPr>
      <t>High Temperature Operating Life</t>
    </r>
    <phoneticPr fontId="1"/>
  </si>
  <si>
    <t>Cycle/day</t>
    <phoneticPr fontId="1"/>
  </si>
  <si>
    <r>
      <t>n</t>
    </r>
    <r>
      <rPr>
        <sz val="8"/>
        <rFont val="Arial"/>
        <family val="2"/>
      </rPr>
      <t>0</t>
    </r>
    <phoneticPr fontId="1"/>
  </si>
  <si>
    <t>Max. Temp. 
 (°C)</t>
    <phoneticPr fontId="1"/>
  </si>
  <si>
    <t>m0</t>
    <phoneticPr fontId="1"/>
  </si>
  <si>
    <r>
      <t>m</t>
    </r>
    <r>
      <rPr>
        <sz val="9"/>
        <rFont val="Arial"/>
        <family val="2"/>
      </rPr>
      <t>0</t>
    </r>
    <phoneticPr fontId="1"/>
  </si>
  <si>
    <t>n0</t>
    <phoneticPr fontId="1"/>
  </si>
  <si>
    <t>現在の状況　Current situation</t>
    <rPh sb="0" eb="2">
      <t>ゲンザイ</t>
    </rPh>
    <rPh sb="3" eb="5">
      <t>ジョウキョウ</t>
    </rPh>
    <phoneticPr fontId="1"/>
  </si>
  <si>
    <t>備考　Remarks</t>
    <rPh sb="0" eb="2">
      <t>ビコウ</t>
    </rPh>
    <phoneticPr fontId="1"/>
  </si>
  <si>
    <t>.</t>
    <phoneticPr fontId="1"/>
  </si>
  <si>
    <t>Today</t>
    <phoneticPr fontId="1"/>
  </si>
  <si>
    <t/>
  </si>
  <si>
    <t>Arrhenius model:  TTF=A Exp (Ea/kT)</t>
    <phoneticPr fontId="1"/>
  </si>
  <si>
    <t>1) Coffin-Manson :  TTF=A (ΔT)^(-n)</t>
    <phoneticPr fontId="1"/>
  </si>
  <si>
    <t>2) Modified Coffin-Manson : TTF=A f^m0 (ΔT)^(-n0) exp(Ea/kT)</t>
    <phoneticPr fontId="1"/>
  </si>
  <si>
    <t>1) Vg model:  TTF=A exp(Ea/kT) exp(-βVg)</t>
    <phoneticPr fontId="1"/>
  </si>
  <si>
    <t>2) Power-law model:  TTF=A exp(Ea/kT) Vg^(-n)</t>
    <phoneticPr fontId="1"/>
  </si>
  <si>
    <t>Moisture-diff Ed</t>
    <phoneticPr fontId="1"/>
  </si>
  <si>
    <r>
      <rPr>
        <sz val="12"/>
        <rFont val="HGS創英角ｺﾞｼｯｸUB"/>
        <family val="3"/>
        <charset val="128"/>
      </rPr>
      <t>サンプル数と試験時間</t>
    </r>
    <r>
      <rPr>
        <b/>
        <sz val="12"/>
        <rFont val="Arial"/>
        <family val="2"/>
      </rPr>
      <t xml:space="preserve">  The sample size &amp; the test time</t>
    </r>
    <phoneticPr fontId="1"/>
  </si>
  <si>
    <r>
      <t>Enter password</t>
    </r>
    <r>
      <rPr>
        <sz val="13"/>
        <color indexed="9"/>
        <rFont val="ＭＳ Ｐゴシック"/>
        <family val="3"/>
        <charset val="128"/>
      </rPr>
      <t>：</t>
    </r>
    <phoneticPr fontId="1"/>
  </si>
  <si>
    <t>Thickness (mm)</t>
  </si>
  <si>
    <t>Moisture-diff Ed</t>
    <phoneticPr fontId="1"/>
  </si>
  <si>
    <t>Ea</t>
  </si>
  <si>
    <t>n1</t>
    <phoneticPr fontId="1"/>
  </si>
  <si>
    <t>3) Not Applicable</t>
    <phoneticPr fontId="1"/>
  </si>
  <si>
    <t>1) Applicable /PKG Thickness</t>
    <phoneticPr fontId="1"/>
  </si>
  <si>
    <t>2) Applicable /Resin Thickness</t>
    <phoneticPr fontId="1"/>
  </si>
  <si>
    <t>Cumulative failure 
on the lifetime (%)</t>
    <phoneticPr fontId="1"/>
  </si>
  <si>
    <t>FLG</t>
    <phoneticPr fontId="1"/>
  </si>
  <si>
    <t>Validated date</t>
    <phoneticPr fontId="1"/>
  </si>
  <si>
    <r>
      <t>1) Relative humidity model: TTF=A (RH)^</t>
    </r>
    <r>
      <rPr>
        <vertAlign val="superscript"/>
        <sz val="8"/>
        <color indexed="8"/>
        <rFont val="Arial"/>
        <family val="2"/>
      </rPr>
      <t>(-</t>
    </r>
    <r>
      <rPr>
        <vertAlign val="superscript"/>
        <sz val="8"/>
        <color indexed="8"/>
        <rFont val="Arial"/>
        <family val="2"/>
      </rPr>
      <t>n1)</t>
    </r>
    <r>
      <rPr>
        <sz val="8"/>
        <color indexed="8"/>
        <rFont val="Arial"/>
        <family val="2"/>
      </rPr>
      <t xml:space="preserve"> exp(Ea/kT) V^(-α)</t>
    </r>
    <phoneticPr fontId="1"/>
  </si>
  <si>
    <r>
      <t>2) Absolute vapor pressure model:  TTF=A Vp^</t>
    </r>
    <r>
      <rPr>
        <vertAlign val="superscript"/>
        <sz val="8"/>
        <color indexed="8"/>
        <rFont val="Arial"/>
        <family val="2"/>
      </rPr>
      <t>(-</t>
    </r>
    <r>
      <rPr>
        <vertAlign val="superscript"/>
        <sz val="8"/>
        <color indexed="8"/>
        <rFont val="Arial"/>
        <family val="2"/>
      </rPr>
      <t>n2)</t>
    </r>
    <r>
      <rPr>
        <sz val="8"/>
        <color indexed="8"/>
        <rFont val="Arial"/>
        <family val="2"/>
      </rPr>
      <t xml:space="preserve">  V^(-α)</t>
    </r>
    <phoneticPr fontId="1"/>
  </si>
  <si>
    <t>1) Relative humidity model: TTF=A  (RH)^(-n1) exp(Ea/kT)</t>
    <phoneticPr fontId="1"/>
  </si>
  <si>
    <r>
      <t>2) Absolute vapor pressure model:  TTF=A Vp</t>
    </r>
    <r>
      <rPr>
        <vertAlign val="superscript"/>
        <sz val="8"/>
        <color indexed="8"/>
        <rFont val="Arial"/>
        <family val="2"/>
      </rPr>
      <t>^(-</t>
    </r>
    <r>
      <rPr>
        <vertAlign val="superscript"/>
        <sz val="8"/>
        <color indexed="8"/>
        <rFont val="Arial"/>
        <family val="2"/>
      </rPr>
      <t>n2)</t>
    </r>
    <phoneticPr fontId="1"/>
  </si>
  <si>
    <t>V. pressure(kPa)</t>
    <phoneticPr fontId="1"/>
  </si>
  <si>
    <r>
      <rPr>
        <b/>
        <sz val="11"/>
        <rFont val="HG創英角ｺﾞｼｯｸUB"/>
        <family val="3"/>
        <charset val="128"/>
      </rPr>
      <t>1日のサイクル数</t>
    </r>
    <r>
      <rPr>
        <b/>
        <sz val="11"/>
        <rFont val="ＭＳ Ｐゴシック"/>
        <family val="3"/>
        <charset val="128"/>
      </rPr>
      <t>　</t>
    </r>
    <r>
      <rPr>
        <b/>
        <sz val="11"/>
        <rFont val="Arial"/>
        <family val="2"/>
      </rPr>
      <t>Cycle/day</t>
    </r>
    <rPh sb="1" eb="2">
      <t>ニチ</t>
    </rPh>
    <rPh sb="7" eb="8">
      <t>スウ</t>
    </rPh>
    <phoneticPr fontId="1"/>
  </si>
  <si>
    <r>
      <rPr>
        <b/>
        <sz val="11"/>
        <rFont val="HGS創英角ｺﾞｼｯｸUB"/>
        <family val="3"/>
        <charset val="128"/>
      </rPr>
      <t>稼動比</t>
    </r>
    <r>
      <rPr>
        <b/>
        <sz val="11"/>
        <rFont val="ＭＳ Ｐゴシック"/>
        <family val="3"/>
        <charset val="128"/>
      </rPr>
      <t>　</t>
    </r>
    <r>
      <rPr>
        <b/>
        <sz val="11"/>
        <rFont val="Arial"/>
        <family val="2"/>
      </rPr>
      <t>Duty
(%)</t>
    </r>
    <rPh sb="0" eb="2">
      <t>カドウ</t>
    </rPh>
    <rPh sb="2" eb="3">
      <t>ヒ</t>
    </rPh>
    <phoneticPr fontId="1"/>
  </si>
  <si>
    <r>
      <rPr>
        <sz val="11"/>
        <rFont val="HGP創英角ｺﾞｼｯｸUB"/>
        <family val="3"/>
        <charset val="128"/>
      </rPr>
      <t>実際の各稼働時間に相当する試験時間</t>
    </r>
    <r>
      <rPr>
        <b/>
        <sz val="11"/>
        <rFont val="Arial"/>
        <family val="2"/>
      </rPr>
      <t xml:space="preserve">  
Test time for the actual operation time</t>
    </r>
    <rPh sb="0" eb="2">
      <t>ジッサイ</t>
    </rPh>
    <rPh sb="3" eb="4">
      <t>カク</t>
    </rPh>
    <phoneticPr fontId="1"/>
  </si>
  <si>
    <r>
      <rPr>
        <sz val="11"/>
        <rFont val="HGS創英角ｺﾞｼｯｸUB"/>
        <family val="3"/>
        <charset val="128"/>
      </rPr>
      <t>目標耐久寿命</t>
    </r>
    <r>
      <rPr>
        <b/>
        <sz val="11"/>
        <rFont val="Arial"/>
        <family val="2"/>
      </rPr>
      <t xml:space="preserve"> Target of lifetime  (year)</t>
    </r>
    <rPh sb="4" eb="6">
      <t>ジュミョウ</t>
    </rPh>
    <phoneticPr fontId="1"/>
  </si>
  <si>
    <r>
      <rPr>
        <sz val="11"/>
        <rFont val="HGS創英角ｺﾞｼｯｸUB"/>
        <family val="3"/>
        <charset val="128"/>
      </rPr>
      <t>実際の使用条件とサイクル数</t>
    </r>
    <r>
      <rPr>
        <b/>
        <sz val="11"/>
        <rFont val="Arial"/>
        <family val="2"/>
      </rPr>
      <t xml:space="preserve">  Actual usage conditions &amp; cycle count</t>
    </r>
    <rPh sb="12" eb="13">
      <t>スウ</t>
    </rPh>
    <phoneticPr fontId="1"/>
  </si>
  <si>
    <r>
      <rPr>
        <b/>
        <sz val="10"/>
        <rFont val="HGS創英角ｺﾞｼｯｸUB"/>
        <family val="3"/>
        <charset val="128"/>
      </rPr>
      <t>目標耐久性に相当する試験サイクル数</t>
    </r>
    <r>
      <rPr>
        <b/>
        <sz val="10"/>
        <rFont val="Arial"/>
        <family val="2"/>
      </rPr>
      <t xml:space="preserve">  Test cycle correspond with the target of lifetime (h)</t>
    </r>
    <rPh sb="16" eb="17">
      <t>スウ</t>
    </rPh>
    <phoneticPr fontId="1"/>
  </si>
  <si>
    <r>
      <rPr>
        <b/>
        <sz val="11"/>
        <rFont val="HGS創英角ｺﾞｼｯｸUB"/>
        <family val="3"/>
        <charset val="128"/>
      </rPr>
      <t>目標耐久性に相当する試験時間</t>
    </r>
    <r>
      <rPr>
        <b/>
        <sz val="10"/>
        <rFont val="Arial"/>
        <family val="2"/>
      </rPr>
      <t xml:space="preserve">  Test time correspond with the target of lifetime (h)</t>
    </r>
    <phoneticPr fontId="1"/>
  </si>
  <si>
    <r>
      <rPr>
        <sz val="11"/>
        <rFont val="HGS創英角ｺﾞｼｯｸUB"/>
        <family val="3"/>
        <charset val="128"/>
      </rPr>
      <t>実際の各稼働時間に相当する試験時間</t>
    </r>
    <r>
      <rPr>
        <b/>
        <sz val="11"/>
        <rFont val="Arial"/>
        <family val="2"/>
      </rPr>
      <t xml:space="preserve">  
Test time for the actual duration time</t>
    </r>
    <phoneticPr fontId="1"/>
  </si>
  <si>
    <r>
      <rPr>
        <sz val="11"/>
        <rFont val="HGS創英角ｺﾞｼｯｸUB"/>
        <family val="3"/>
        <charset val="128"/>
      </rPr>
      <t>加速モデル</t>
    </r>
    <r>
      <rPr>
        <b/>
        <sz val="11"/>
        <rFont val="Arial"/>
        <family val="2"/>
      </rPr>
      <t xml:space="preserve">  Acceleration mode</t>
    </r>
    <r>
      <rPr>
        <b/>
        <sz val="11"/>
        <rFont val="ＭＳ Ｐゴシック"/>
        <family val="3"/>
        <charset val="128"/>
      </rPr>
      <t>ｌ</t>
    </r>
    <r>
      <rPr>
        <b/>
        <sz val="11"/>
        <rFont val="Arial"/>
        <family val="2"/>
      </rPr>
      <t>:</t>
    </r>
    <phoneticPr fontId="1"/>
  </si>
  <si>
    <r>
      <rPr>
        <sz val="10"/>
        <rFont val="HGS創英角ｺﾞｼｯｸUB"/>
        <family val="3"/>
        <charset val="128"/>
      </rPr>
      <t>目標耐久性に相当する試験時間</t>
    </r>
    <r>
      <rPr>
        <b/>
        <sz val="10"/>
        <rFont val="Arial"/>
        <family val="2"/>
      </rPr>
      <t xml:space="preserve">  Test time correspond with the target of lifetime (h)</t>
    </r>
    <phoneticPr fontId="1"/>
  </si>
  <si>
    <r>
      <t>90%</t>
    </r>
    <r>
      <rPr>
        <sz val="10"/>
        <rFont val="HGP創英角ｺﾞｼｯｸUB"/>
        <family val="3"/>
        <charset val="128"/>
      </rPr>
      <t>飽和吸湿時間</t>
    </r>
    <r>
      <rPr>
        <b/>
        <sz val="10"/>
        <rFont val="HGS創英角ｺﾞｼｯｸUB"/>
        <family val="3"/>
        <charset val="128"/>
      </rPr>
      <t xml:space="preserve">  </t>
    </r>
    <r>
      <rPr>
        <b/>
        <sz val="10"/>
        <rFont val="Arial"/>
        <family val="2"/>
      </rPr>
      <t>Moisture saturation time to 90% (h)</t>
    </r>
    <phoneticPr fontId="1"/>
  </si>
  <si>
    <r>
      <rPr>
        <b/>
        <sz val="10"/>
        <color indexed="8"/>
        <rFont val="HGS創英角ｺﾞｼｯｸUB"/>
        <family val="3"/>
        <charset val="128"/>
      </rPr>
      <t>吸湿</t>
    </r>
    <r>
      <rPr>
        <b/>
        <sz val="10"/>
        <color indexed="8"/>
        <rFont val="Arial"/>
        <family val="2"/>
      </rPr>
      <t xml:space="preserve"> Moisture diffusion </t>
    </r>
    <rPh sb="0" eb="2">
      <t>キュウシツ</t>
    </rPh>
    <phoneticPr fontId="1"/>
  </si>
  <si>
    <r>
      <rPr>
        <sz val="10"/>
        <rFont val="HGS創英角ｺﾞｼｯｸUB"/>
        <family val="3"/>
        <charset val="128"/>
      </rPr>
      <t>サンプル仕様</t>
    </r>
    <r>
      <rPr>
        <b/>
        <sz val="10"/>
        <rFont val="ＭＳ Ｐゴシック"/>
        <family val="3"/>
        <charset val="128"/>
      </rPr>
      <t>　</t>
    </r>
    <r>
      <rPr>
        <b/>
        <sz val="10"/>
        <rFont val="Arial"/>
        <family val="2"/>
      </rPr>
      <t>Specifications of the test sample</t>
    </r>
    <phoneticPr fontId="1"/>
  </si>
  <si>
    <r>
      <rPr>
        <sz val="10"/>
        <rFont val="HGS創英角ｺﾞｼｯｸUB"/>
        <family val="3"/>
        <charset val="128"/>
      </rPr>
      <t>高温高湿バイアス試験条件</t>
    </r>
    <r>
      <rPr>
        <b/>
        <sz val="10"/>
        <rFont val="Arial"/>
        <family val="2"/>
      </rPr>
      <t xml:space="preserve">  Temp. Humidity Bias test conditions</t>
    </r>
    <rPh sb="0" eb="2">
      <t>コウオン</t>
    </rPh>
    <rPh sb="2" eb="4">
      <t>コウシツ</t>
    </rPh>
    <phoneticPr fontId="1"/>
  </si>
  <si>
    <r>
      <rPr>
        <sz val="10"/>
        <rFont val="HGS創英角ｺﾞｼｯｸUB"/>
        <family val="3"/>
        <charset val="128"/>
      </rPr>
      <t>加速モデル</t>
    </r>
    <r>
      <rPr>
        <b/>
        <sz val="10"/>
        <rFont val="Arial"/>
        <family val="2"/>
      </rPr>
      <t xml:space="preserve">  Acceleration mode</t>
    </r>
    <r>
      <rPr>
        <b/>
        <sz val="10"/>
        <rFont val="ＭＳ Ｐゴシック"/>
        <family val="3"/>
        <charset val="128"/>
      </rPr>
      <t>ｌ</t>
    </r>
    <r>
      <rPr>
        <b/>
        <sz val="10"/>
        <rFont val="Arial"/>
        <family val="2"/>
      </rPr>
      <t>:</t>
    </r>
    <phoneticPr fontId="1"/>
  </si>
  <si>
    <r>
      <rPr>
        <sz val="11"/>
        <rFont val="HGS創英角ｺﾞｼｯｸUB"/>
        <family val="3"/>
        <charset val="128"/>
      </rPr>
      <t>サンプル数と試験時間</t>
    </r>
    <r>
      <rPr>
        <b/>
        <sz val="11"/>
        <rFont val="Arial"/>
        <family val="2"/>
      </rPr>
      <t xml:space="preserve">  The sample size &amp; the test time</t>
    </r>
    <phoneticPr fontId="1"/>
  </si>
  <si>
    <r>
      <rPr>
        <b/>
        <sz val="10"/>
        <rFont val="Arial"/>
        <family val="2"/>
      </rPr>
      <t>Conditions:</t>
    </r>
    <r>
      <rPr>
        <sz val="10"/>
        <rFont val="Arial"/>
        <family val="2"/>
      </rPr>
      <t xml:space="preserve"> Based on the binominal distribution and the Weibull distribution. In the case of 0 failure,  the test is judged to be pass.</t>
    </r>
    <phoneticPr fontId="1"/>
  </si>
  <si>
    <r>
      <rPr>
        <sz val="11"/>
        <rFont val="HGS創英角ｺﾞｼｯｸUB"/>
        <family val="3"/>
        <charset val="128"/>
      </rPr>
      <t xml:space="preserve">実際の各稼働時間に相当する試験時間  </t>
    </r>
    <r>
      <rPr>
        <b/>
        <sz val="11"/>
        <rFont val="Arial"/>
        <family val="2"/>
      </rPr>
      <t xml:space="preserve">
Test time for the actual duration time</t>
    </r>
    <phoneticPr fontId="1"/>
  </si>
  <si>
    <r>
      <rPr>
        <b/>
        <sz val="10"/>
        <color indexed="8"/>
        <rFont val="HGS創英角ｺﾞｼｯｸUB"/>
        <family val="3"/>
        <charset val="128"/>
      </rPr>
      <t>吸湿</t>
    </r>
    <r>
      <rPr>
        <b/>
        <sz val="10"/>
        <color indexed="8"/>
        <rFont val="Arial"/>
        <family val="2"/>
      </rPr>
      <t xml:space="preserve"> Moisture diffusion</t>
    </r>
    <rPh sb="0" eb="2">
      <t>キュウシツ</t>
    </rPh>
    <phoneticPr fontId="1"/>
  </si>
  <si>
    <r>
      <rPr>
        <b/>
        <sz val="10"/>
        <rFont val="Arial"/>
        <family val="2"/>
      </rPr>
      <t xml:space="preserve">Conditions: </t>
    </r>
    <r>
      <rPr>
        <sz val="10"/>
        <rFont val="Arial"/>
        <family val="2"/>
      </rPr>
      <t>Based on the binominal distribution and the Weibull distribution. In the case of 0 failure,  the test is judged to be pass.</t>
    </r>
    <phoneticPr fontId="1"/>
  </si>
  <si>
    <r>
      <rPr>
        <sz val="10"/>
        <rFont val="HGS創英角ｺﾞｼｯｸUB"/>
        <family val="3"/>
        <charset val="128"/>
      </rPr>
      <t>高温高湿保存試験条件</t>
    </r>
    <r>
      <rPr>
        <b/>
        <sz val="10"/>
        <rFont val="Arial"/>
        <family val="2"/>
      </rPr>
      <t xml:space="preserve">  Temp. Humidity Storage test conditions</t>
    </r>
    <rPh sb="0" eb="2">
      <t>コウオン</t>
    </rPh>
    <rPh sb="2" eb="4">
      <t>コウシツ</t>
    </rPh>
    <rPh sb="4" eb="6">
      <t>ホゾン</t>
    </rPh>
    <phoneticPr fontId="1"/>
  </si>
  <si>
    <r>
      <rPr>
        <sz val="11"/>
        <rFont val="HGP創英角ｺﾞｼｯｸUB"/>
        <family val="3"/>
        <charset val="128"/>
      </rPr>
      <t>目標耐久寿命</t>
    </r>
    <r>
      <rPr>
        <b/>
        <sz val="11"/>
        <rFont val="Arial"/>
        <family val="2"/>
      </rPr>
      <t xml:space="preserve"> Target of lifetime  (year)</t>
    </r>
    <rPh sb="4" eb="6">
      <t>ジュミョウ</t>
    </rPh>
    <phoneticPr fontId="1"/>
  </si>
  <si>
    <r>
      <t>このシートの有効期限</t>
    </r>
    <r>
      <rPr>
        <b/>
        <sz val="12"/>
        <color indexed="30"/>
        <rFont val="Arial"/>
        <family val="2"/>
      </rPr>
      <t xml:space="preserve"> Validated date of this sheet :</t>
    </r>
    <phoneticPr fontId="1"/>
  </si>
  <si>
    <r>
      <t xml:space="preserve"> JEITA ED-4701/002 (参考資料）
　寿命試験の試験時間、試験個数の決定手順：計算シートによる適用例　 V2.0
</t>
    </r>
    <r>
      <rPr>
        <sz val="12"/>
        <color indexed="56"/>
        <rFont val="HGS創英角ｺﾞｼｯｸUB"/>
        <family val="3"/>
        <charset val="128"/>
      </rPr>
      <t xml:space="preserve"> 　　　　      </t>
    </r>
    <r>
      <rPr>
        <sz val="14"/>
        <color indexed="56"/>
        <rFont val="HGS創英角ｺﾞｼｯｸUB"/>
        <family val="3"/>
        <charset val="128"/>
      </rPr>
      <t xml:space="preserve">                       　　　　　　　 *計算手順を理解し、検証しながらご使用下さい。
</t>
    </r>
    <r>
      <rPr>
        <sz val="20"/>
        <color indexed="56"/>
        <rFont val="HGS創英角ｺﾞｼｯｸUB"/>
        <family val="3"/>
        <charset val="128"/>
      </rPr>
      <t xml:space="preserve">
 </t>
    </r>
    <r>
      <rPr>
        <sz val="16"/>
        <color indexed="56"/>
        <rFont val="HGS創英角ｺﾞｼｯｸUB"/>
        <family val="3"/>
        <charset val="128"/>
      </rPr>
      <t>Procedure of the test time and the sample size determination for the life tests:
                                                                  Example of application used the spread sheet V2.0</t>
    </r>
    <r>
      <rPr>
        <sz val="20"/>
        <color indexed="56"/>
        <rFont val="HGS創英角ｺﾞｼｯｸUB"/>
        <family val="3"/>
        <charset val="128"/>
      </rPr>
      <t xml:space="preserve">
</t>
    </r>
    <r>
      <rPr>
        <sz val="12"/>
        <color indexed="56"/>
        <rFont val="HGS創英角ｺﾞｼｯｸUB"/>
        <family val="3"/>
        <charset val="128"/>
      </rPr>
      <t xml:space="preserve">                          </t>
    </r>
    <r>
      <rPr>
        <sz val="14"/>
        <color indexed="56"/>
        <rFont val="HGS創英角ｺﾞｼｯｸUB"/>
        <family val="3"/>
        <charset val="128"/>
      </rPr>
      <t xml:space="preserve">*Please understand the calculation procedure and use this sheet on your self-responsibility. </t>
    </r>
    <rPh sb="20" eb="22">
      <t>サンコウ</t>
    </rPh>
    <rPh sb="22" eb="24">
      <t>シリョウ</t>
    </rPh>
    <rPh sb="28" eb="30">
      <t>ジュミョウ</t>
    </rPh>
    <rPh sb="30" eb="32">
      <t>シケン</t>
    </rPh>
    <rPh sb="33" eb="35">
      <t>シケン</t>
    </rPh>
    <rPh sb="35" eb="37">
      <t>ジカン</t>
    </rPh>
    <rPh sb="38" eb="40">
      <t>シケン</t>
    </rPh>
    <rPh sb="40" eb="42">
      <t>コスウ</t>
    </rPh>
    <rPh sb="43" eb="45">
      <t>ケッテイ</t>
    </rPh>
    <rPh sb="45" eb="47">
      <t>テジュン</t>
    </rPh>
    <rPh sb="48" eb="50">
      <t>ケイサン</t>
    </rPh>
    <rPh sb="56" eb="58">
      <t>テキヨウ</t>
    </rPh>
    <rPh sb="58" eb="59">
      <t>レイ</t>
    </rPh>
    <rPh sb="109" eb="111">
      <t>ケイサン</t>
    </rPh>
    <rPh sb="111" eb="113">
      <t>テジュン</t>
    </rPh>
    <rPh sb="114" eb="116">
      <t>リカイ</t>
    </rPh>
    <rPh sb="118" eb="120">
      <t>ケンショウ</t>
    </rPh>
    <rPh sb="125" eb="127">
      <t>シヨウ</t>
    </rPh>
    <rPh sb="127" eb="128">
      <t>クダ</t>
    </rPh>
    <phoneticPr fontId="1"/>
  </si>
  <si>
    <r>
      <t>サンプル仕様　</t>
    </r>
    <r>
      <rPr>
        <b/>
        <sz val="10"/>
        <rFont val="Arial"/>
        <family val="2"/>
      </rPr>
      <t>Specifications of the test sample</t>
    </r>
    <phoneticPr fontId="1"/>
  </si>
  <si>
    <r>
      <rPr>
        <sz val="10"/>
        <rFont val="HGP創英角ｺﾞｼｯｸUB"/>
        <family val="3"/>
        <charset val="128"/>
      </rPr>
      <t>目標耐久性に相当する試験時間</t>
    </r>
    <r>
      <rPr>
        <b/>
        <sz val="10"/>
        <rFont val="HGP創英角ｺﾞｼｯｸUB"/>
        <family val="3"/>
        <charset val="128"/>
      </rPr>
      <t xml:space="preserve">  </t>
    </r>
    <r>
      <rPr>
        <b/>
        <sz val="10"/>
        <rFont val="Arial"/>
        <family val="2"/>
      </rPr>
      <t>Test time correspond with the target of lifetime (h)</t>
    </r>
    <phoneticPr fontId="1"/>
  </si>
  <si>
    <r>
      <rPr>
        <sz val="10"/>
        <rFont val="HGP創英角ｺﾞｼｯｸUB"/>
        <family val="3"/>
        <charset val="128"/>
      </rPr>
      <t>高温動作試験条件</t>
    </r>
    <r>
      <rPr>
        <b/>
        <sz val="10"/>
        <rFont val="Arial"/>
        <family val="2"/>
      </rPr>
      <t xml:space="preserve">  High Temp. Operating Life </t>
    </r>
    <r>
      <rPr>
        <b/>
        <sz val="10"/>
        <rFont val="HGP創英角ｺﾞｼｯｸUB"/>
        <family val="3"/>
        <charset val="128"/>
      </rPr>
      <t>t</t>
    </r>
    <r>
      <rPr>
        <b/>
        <sz val="10"/>
        <rFont val="Arial"/>
        <family val="2"/>
      </rPr>
      <t>est conditions</t>
    </r>
    <rPh sb="0" eb="2">
      <t>コウオン</t>
    </rPh>
    <rPh sb="2" eb="4">
      <t>ドウサ</t>
    </rPh>
    <phoneticPr fontId="1"/>
  </si>
  <si>
    <r>
      <rPr>
        <sz val="10"/>
        <rFont val="HGS創英角ｺﾞｼｯｸUB"/>
        <family val="3"/>
        <charset val="128"/>
      </rPr>
      <t xml:space="preserve">加速モデル </t>
    </r>
    <r>
      <rPr>
        <b/>
        <sz val="10"/>
        <rFont val="Arial"/>
        <family val="2"/>
      </rPr>
      <t xml:space="preserve"> Acceleration mode</t>
    </r>
    <r>
      <rPr>
        <b/>
        <sz val="10"/>
        <rFont val="ＭＳ Ｐゴシック"/>
        <family val="3"/>
        <charset val="128"/>
      </rPr>
      <t>ｌ</t>
    </r>
    <r>
      <rPr>
        <b/>
        <sz val="10"/>
        <rFont val="Arial"/>
        <family val="2"/>
      </rPr>
      <t>:</t>
    </r>
    <phoneticPr fontId="1"/>
  </si>
  <si>
    <t>Acceleration rate (times)</t>
    <phoneticPr fontId="1"/>
  </si>
  <si>
    <r>
      <rPr>
        <sz val="11"/>
        <rFont val="HGS創英角ｺﾞｼｯｸUB"/>
        <family val="3"/>
        <charset val="128"/>
      </rPr>
      <t>各稼働条件に相当する試験時間</t>
    </r>
    <r>
      <rPr>
        <b/>
        <sz val="11"/>
        <rFont val="Arial"/>
        <family val="2"/>
      </rPr>
      <t xml:space="preserve">  
Test time for the each operating conditions</t>
    </r>
    <rPh sb="3" eb="5">
      <t>ジョウケン</t>
    </rPh>
    <phoneticPr fontId="1"/>
  </si>
  <si>
    <r>
      <t>Temp(</t>
    </r>
    <r>
      <rPr>
        <b/>
        <sz val="10"/>
        <rFont val="Segoe UI Symbol"/>
        <family val="2"/>
      </rPr>
      <t>℃)</t>
    </r>
    <phoneticPr fontId="1"/>
  </si>
  <si>
    <t>RH(%)</t>
    <phoneticPr fontId="1"/>
  </si>
  <si>
    <r>
      <t>Temp(</t>
    </r>
    <r>
      <rPr>
        <b/>
        <sz val="10"/>
        <rFont val="Segoe UI Symbol"/>
        <family val="2"/>
      </rPr>
      <t>℃</t>
    </r>
    <r>
      <rPr>
        <b/>
        <sz val="10"/>
        <rFont val="Arial"/>
        <family val="2"/>
      </rPr>
      <t>)</t>
    </r>
    <phoneticPr fontId="1"/>
  </si>
  <si>
    <r>
      <t>Temp(</t>
    </r>
    <r>
      <rPr>
        <b/>
        <sz val="11"/>
        <rFont val="Segoe UI Symbol"/>
        <family val="2"/>
      </rPr>
      <t>℃)</t>
    </r>
    <phoneticPr fontId="1"/>
  </si>
  <si>
    <r>
      <t>Temp(</t>
    </r>
    <r>
      <rPr>
        <b/>
        <sz val="11"/>
        <rFont val="Segoe UI Symbol"/>
        <family val="2"/>
      </rPr>
      <t>℃</t>
    </r>
    <r>
      <rPr>
        <b/>
        <sz val="11"/>
        <rFont val="Arial"/>
        <family val="2"/>
      </rPr>
      <t>)</t>
    </r>
    <phoneticPr fontId="1"/>
  </si>
  <si>
    <t>(h)</t>
    <phoneticPr fontId="1"/>
  </si>
  <si>
    <t>Temperature (°C)</t>
    <phoneticPr fontId="1"/>
  </si>
  <si>
    <t>Time (h)</t>
    <phoneticPr fontId="1"/>
  </si>
  <si>
    <t>Ratio (%)</t>
    <phoneticPr fontId="1"/>
  </si>
  <si>
    <t>Cycle (cyc.)</t>
    <phoneticPr fontId="1"/>
  </si>
  <si>
    <t xml:space="preserve"> Ratio (%)</t>
    <phoneticPr fontId="1"/>
  </si>
  <si>
    <t>Retio  (%)</t>
    <phoneticPr fontId="1"/>
  </si>
  <si>
    <r>
      <rPr>
        <sz val="11"/>
        <rFont val="HGS創英角ｺﾞｼｯｸUB"/>
        <family val="3"/>
        <charset val="128"/>
      </rPr>
      <t>実際の稼働条件と稼働時間</t>
    </r>
    <r>
      <rPr>
        <b/>
        <sz val="11"/>
        <rFont val="Arial"/>
        <family val="2"/>
      </rPr>
      <t xml:space="preserve">  Actual operation conditions &amp; operation time</t>
    </r>
    <rPh sb="0" eb="2">
      <t>ジッサイ</t>
    </rPh>
    <rPh sb="3" eb="5">
      <t>カドウ</t>
    </rPh>
    <phoneticPr fontId="1"/>
  </si>
  <si>
    <r>
      <rPr>
        <sz val="11"/>
        <rFont val="HGS創英角ｺﾞｼｯｸUB"/>
        <family val="3"/>
        <charset val="128"/>
      </rPr>
      <t>実際の稼働条件と稼働時間</t>
    </r>
    <r>
      <rPr>
        <sz val="11"/>
        <rFont val="Arial"/>
        <family val="3"/>
      </rPr>
      <t xml:space="preserve"> </t>
    </r>
    <r>
      <rPr>
        <b/>
        <sz val="11"/>
        <rFont val="Arial"/>
        <family val="2"/>
      </rPr>
      <t xml:space="preserve"> Actual operation conditions &amp; operation time</t>
    </r>
    <phoneticPr fontId="1"/>
  </si>
  <si>
    <r>
      <rPr>
        <sz val="11"/>
        <rFont val="HGS創英角ｺﾞｼｯｸUB"/>
        <family val="3"/>
        <charset val="128"/>
      </rPr>
      <t>実際の稼働条件と稼働時間</t>
    </r>
    <r>
      <rPr>
        <sz val="11"/>
        <rFont val="Arial"/>
        <family val="3"/>
      </rPr>
      <t xml:space="preserve">  </t>
    </r>
    <r>
      <rPr>
        <b/>
        <sz val="11"/>
        <rFont val="Arial"/>
        <family val="2"/>
      </rPr>
      <t>Actual operation conditions &amp; operation time</t>
    </r>
    <phoneticPr fontId="1"/>
  </si>
  <si>
    <t>d=</t>
    <phoneticPr fontId="1"/>
  </si>
  <si>
    <t>t(h)</t>
    <phoneticPr fontId="1"/>
  </si>
  <si>
    <t>t(s)</t>
    <phoneticPr fontId="1"/>
  </si>
  <si>
    <t>I=</t>
    <phoneticPr fontId="1"/>
  </si>
  <si>
    <r>
      <t>0.1</t>
    </r>
    <r>
      <rPr>
        <sz val="11"/>
        <rFont val="Yu Gothic"/>
        <family val="2"/>
        <charset val="128"/>
      </rPr>
      <t>桁</t>
    </r>
    <rPh sb="3" eb="4">
      <t>ケタ</t>
    </rPh>
    <phoneticPr fontId="1"/>
  </si>
  <si>
    <r>
      <t>1000-10000h</t>
    </r>
    <r>
      <rPr>
        <sz val="11"/>
        <rFont val="ＭＳ Ｐゴシック"/>
        <family val="2"/>
        <charset val="128"/>
      </rPr>
      <t>まで</t>
    </r>
    <phoneticPr fontId="1"/>
  </si>
  <si>
    <r>
      <t>100h</t>
    </r>
    <r>
      <rPr>
        <sz val="11"/>
        <rFont val="ＭＳ Ｐゴシック"/>
        <family val="2"/>
        <charset val="128"/>
      </rPr>
      <t>桁</t>
    </r>
    <rPh sb="4" eb="5">
      <t>ケタ</t>
    </rPh>
    <phoneticPr fontId="1"/>
  </si>
  <si>
    <r>
      <t>10</t>
    </r>
    <r>
      <rPr>
        <sz val="11"/>
        <rFont val="ＭＳ Ｐゴシック"/>
        <family val="2"/>
        <charset val="128"/>
      </rPr>
      <t>桁</t>
    </r>
    <rPh sb="2" eb="3">
      <t>ケタ</t>
    </rPh>
    <phoneticPr fontId="1"/>
  </si>
  <si>
    <r>
      <t>1</t>
    </r>
    <r>
      <rPr>
        <sz val="11"/>
        <rFont val="Yu Gothic"/>
        <family val="2"/>
        <charset val="128"/>
      </rPr>
      <t>桁</t>
    </r>
    <phoneticPr fontId="1"/>
  </si>
  <si>
    <r>
      <t>0.01</t>
    </r>
    <r>
      <rPr>
        <sz val="11"/>
        <rFont val="ＭＳ Ｐゴシック"/>
        <family val="2"/>
        <charset val="128"/>
      </rPr>
      <t>桁</t>
    </r>
    <rPh sb="4" eb="5">
      <t>ケタ</t>
    </rPh>
    <phoneticPr fontId="1"/>
  </si>
  <si>
    <t>Saturated time=</t>
    <phoneticPr fontId="1"/>
  </si>
  <si>
    <t>2) Absolute vapor pressure model:  TTF=A Vp^(-n2)</t>
  </si>
  <si>
    <t>(cyc.)</t>
    <phoneticPr fontId="1"/>
  </si>
  <si>
    <t>1) Applicable /PKG Thickness</t>
  </si>
  <si>
    <r>
      <rPr>
        <sz val="11"/>
        <rFont val="HGS創英角ｺﾞｼｯｸUB"/>
        <family val="3"/>
        <charset val="128"/>
      </rPr>
      <t>実際のサイクル数に相当する試験サイクル数</t>
    </r>
    <r>
      <rPr>
        <b/>
        <sz val="11"/>
        <rFont val="Arial"/>
        <family val="2"/>
      </rPr>
      <t xml:space="preserve">
Test cycles for the actual cycle count</t>
    </r>
    <rPh sb="7" eb="8">
      <t>スウ</t>
    </rPh>
    <rPh sb="19" eb="20">
      <t>スウ</t>
    </rPh>
    <phoneticPr fontId="1"/>
  </si>
  <si>
    <t>Conditions: Based on the binominal distribution and the Weibull distribution. In the case of 0 failure,  the test is judged to be pass.</t>
    <phoneticPr fontId="1"/>
  </si>
  <si>
    <t>1) Vg model:  TTF=A exp(Ea/kT) exp(-βVg)</t>
  </si>
  <si>
    <t>2) Absolute vapor pressure model:  TTF=A Vp^(-n2)  V^(-α)</t>
  </si>
  <si>
    <t>3) Not Applicable</t>
  </si>
  <si>
    <t>Before THB operation</t>
    <phoneticPr fontId="1"/>
  </si>
  <si>
    <t>During THB operation</t>
    <phoneticPr fontId="1"/>
  </si>
  <si>
    <t>Before THS</t>
    <phoneticPr fontId="1"/>
  </si>
  <si>
    <t>During THS</t>
    <phoneticPr fontId="1"/>
  </si>
  <si>
    <r>
      <t xml:space="preserve">　
</t>
    </r>
    <r>
      <rPr>
        <sz val="12"/>
        <color theme="1"/>
        <rFont val="ＭＳ Ｐゴシック"/>
        <family val="3"/>
        <charset val="128"/>
        <scheme val="minor"/>
      </rPr>
      <t>　</t>
    </r>
    <r>
      <rPr>
        <b/>
        <u/>
        <sz val="12"/>
        <color theme="1"/>
        <rFont val="ＭＳ Ｐゴシック"/>
        <family val="3"/>
        <charset val="128"/>
        <scheme val="major"/>
      </rPr>
      <t>計算シートのバージョンV1.XからV2.Xへの変更内容 Changes in the spreadsheet version from V1.X to V2.X</t>
    </r>
    <r>
      <rPr>
        <b/>
        <u/>
        <sz val="10"/>
        <color theme="1"/>
        <rFont val="ＭＳ Ｐゴシック"/>
        <family val="3"/>
        <charset val="128"/>
        <scheme val="major"/>
      </rPr>
      <t xml:space="preserve">
</t>
    </r>
    <r>
      <rPr>
        <b/>
        <sz val="10"/>
        <color theme="1"/>
        <rFont val="ＭＳ Ｐゴシック"/>
        <family val="3"/>
        <charset val="128"/>
        <scheme val="major"/>
      </rPr>
      <t xml:space="preserve">  1) JEITAサイトから本計算シートのダウンロード時に起こるセキュリティチェックエラー回避のため、Visual Basicプログラムを削除。
　　　The Visual Basic program was deleted to avoid　security check errors that occur when downloading this spreadsheet from the JEITA website.
</t>
    </r>
    <r>
      <rPr>
        <sz val="10"/>
        <color theme="1"/>
        <rFont val="ＭＳ Ｐゴシック"/>
        <family val="3"/>
        <charset val="128"/>
        <scheme val="minor"/>
      </rPr>
      <t xml:space="preserve">
　</t>
    </r>
    <r>
      <rPr>
        <b/>
        <sz val="10"/>
        <color theme="1"/>
        <rFont val="ＭＳ Ｐゴシック"/>
        <family val="3"/>
        <charset val="128"/>
        <scheme val="minor"/>
      </rPr>
      <t xml:space="preserve">2) 従来は加速式などの変数を変更しても保存時にはその値を標準値に戻していたが、今後は変更した値を保存できるようにした。そして、標準値を下図の様に表示することにした。
     Previously, even if the values of variables were changed, they were reset to their typical values when saved. However, from now on, it will be possible to save 
　　　the changed values. The typical values will be displayed as shown in the figure below.
</t>
    </r>
    <r>
      <rPr>
        <sz val="10"/>
        <color theme="1"/>
        <rFont val="ＭＳ Ｐゴシック"/>
        <family val="3"/>
        <charset val="128"/>
        <scheme val="minor"/>
      </rPr>
      <t xml:space="preserve">
</t>
    </r>
    <r>
      <rPr>
        <b/>
        <sz val="10"/>
        <color theme="1"/>
        <rFont val="ＭＳ Ｐゴシック"/>
        <family val="3"/>
        <charset val="128"/>
        <scheme val="minor"/>
      </rPr>
      <t xml:space="preserve"> 3) 各シートにおける実際の稼働条件等の入力可能数を6項目（又は3項目）から10項目に変更した。
　　The number of items that can be entered for actual operating conditions, etc. on each sheet has been changed from 6　(or 3) to 10.
</t>
    </r>
    <r>
      <rPr>
        <sz val="10"/>
        <color theme="1"/>
        <rFont val="ＭＳ Ｐゴシック"/>
        <family val="3"/>
        <charset val="128"/>
        <scheme val="minor"/>
      </rPr>
      <t xml:space="preserve">
　</t>
    </r>
    <r>
      <rPr>
        <b/>
        <sz val="10"/>
        <color theme="1"/>
        <rFont val="ＭＳ Ｐゴシック"/>
        <family val="3"/>
        <charset val="128"/>
        <scheme val="minor"/>
      </rPr>
      <t>4) THBとTHSのシートにおいて、実際の稼働前の雰囲気の温湿度を下図のように１項目に纏めた。
　　The temperature and humidity of the atmosphere prior to actual operation in the THB and THS sheets are summarized in one item as shown in the figure below.</t>
    </r>
    <rPh sb="3" eb="5">
      <t>ケイサン</t>
    </rPh>
    <rPh sb="26" eb="30">
      <t>ヘンコウナイヨウ</t>
    </rPh>
    <rPh sb="101" eb="103">
      <t>ケイサン</t>
    </rPh>
    <rPh sb="113" eb="114">
      <t>ジ</t>
    </rPh>
    <rPh sb="115" eb="116">
      <t>オ</t>
    </rPh>
    <rPh sb="131" eb="133">
      <t>カイヒ</t>
    </rPh>
    <rPh sb="155" eb="157">
      <t>サクジョ</t>
    </rPh>
    <rPh sb="303" eb="305">
      <t>ジュウライ</t>
    </rPh>
    <rPh sb="306" eb="308">
      <t>カソク</t>
    </rPh>
    <rPh sb="308" eb="309">
      <t>シキ</t>
    </rPh>
    <rPh sb="312" eb="314">
      <t>ヘンスウ</t>
    </rPh>
    <rPh sb="320" eb="323">
      <t>ホゾンジ</t>
    </rPh>
    <rPh sb="328" eb="329">
      <t>アタイ</t>
    </rPh>
    <rPh sb="340" eb="342">
      <t>コンゴ</t>
    </rPh>
    <rPh sb="364" eb="367">
      <t>ヒョウジュンチ</t>
    </rPh>
    <rPh sb="371" eb="372">
      <t>ヨウ</t>
    </rPh>
    <rPh sb="373" eb="375">
      <t>ヒョウジ</t>
    </rPh>
    <rPh sb="651" eb="652">
      <t>カク</t>
    </rPh>
    <rPh sb="659" eb="661">
      <t>ジッサイ</t>
    </rPh>
    <rPh sb="662" eb="666">
      <t>カドウジョウケン</t>
    </rPh>
    <rPh sb="668" eb="670">
      <t>ニュウリョク</t>
    </rPh>
    <rPh sb="670" eb="673">
      <t>カノウスウ</t>
    </rPh>
    <rPh sb="675" eb="677">
      <t>コウモク</t>
    </rPh>
    <rPh sb="678" eb="679">
      <t>マタ</t>
    </rPh>
    <rPh sb="681" eb="683">
      <t>コウモク</t>
    </rPh>
    <rPh sb="688" eb="690">
      <t>コウモク</t>
    </rPh>
    <rPh sb="691" eb="693">
      <t>ヘンコウ</t>
    </rPh>
    <rPh sb="855" eb="856">
      <t>マエ</t>
    </rPh>
    <rPh sb="857" eb="860">
      <t>フンイキ</t>
    </rPh>
    <rPh sb="862" eb="864">
      <t>シツド</t>
    </rPh>
    <rPh sb="865" eb="867">
      <t>カズ</t>
    </rPh>
    <rPh sb="875" eb="876">
      <t>マト</t>
    </rPh>
    <phoneticPr fontId="9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</si>
</sst>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00_ "/>
    <numFmt numFmtId="179" formatCode="0.0_);[Red]\(0.0\)"/>
    <numFmt numFmtId="180" formatCode="yyyy/m/d;@"/>
    <numFmt numFmtId="181" formatCode="0_);[Red]\(0\)"/>
  </numFmts>
  <fonts count="98">
    <font>
      <sz val="11"/>
      <color theme="1"/>
      <name val="ＭＳ Ｐゴシック"/>
      <family val="3"/>
      <charset val="128"/>
      <scheme val="minor"/>
    </font>
    <font>
      <sz val="6"/>
      <name val="ＭＳ Ｐゴシック"/>
      <family val="3"/>
      <charset val="128"/>
    </font>
    <font>
      <sz val="11"/>
      <name val="Arial"/>
      <family val="2"/>
    </font>
    <font>
      <b/>
      <sz val="12"/>
      <name val="Arial"/>
      <family val="2"/>
    </font>
    <font>
      <b/>
      <sz val="11"/>
      <name val="Arial"/>
      <family val="2"/>
    </font>
    <font>
      <sz val="10"/>
      <name val="Arial"/>
      <family val="2"/>
    </font>
    <font>
      <sz val="12"/>
      <name val="Arial"/>
      <family val="2"/>
    </font>
    <font>
      <b/>
      <sz val="10"/>
      <name val="Arial"/>
      <family val="2"/>
    </font>
    <font>
      <b/>
      <sz val="11"/>
      <name val="ＭＳ Ｐゴシック"/>
      <family val="3"/>
      <charset val="128"/>
    </font>
    <font>
      <b/>
      <sz val="12"/>
      <name val="ＭＳ Ｐゴシック"/>
      <family val="3"/>
      <charset val="128"/>
    </font>
    <font>
      <sz val="11"/>
      <name val="HGP創英角ｺﾞｼｯｸUB"/>
      <family val="3"/>
      <charset val="128"/>
    </font>
    <font>
      <sz val="11"/>
      <name val="HGS創英角ｺﾞｼｯｸUB"/>
      <family val="3"/>
      <charset val="128"/>
    </font>
    <font>
      <sz val="12"/>
      <name val="HGS創英角ｺﾞｼｯｸUB"/>
      <family val="3"/>
      <charset val="128"/>
    </font>
    <font>
      <b/>
      <sz val="11"/>
      <name val="HGS創英角ｺﾞｼｯｸUB"/>
      <family val="3"/>
      <charset val="128"/>
    </font>
    <font>
      <sz val="14"/>
      <color indexed="9"/>
      <name val="HGS創英角ｺﾞｼｯｸUB"/>
      <family val="3"/>
      <charset val="128"/>
    </font>
    <font>
      <b/>
      <sz val="14"/>
      <color indexed="9"/>
      <name val="Arial"/>
      <family val="2"/>
    </font>
    <font>
      <sz val="14"/>
      <color indexed="9"/>
      <name val="Arial"/>
      <family val="2"/>
    </font>
    <font>
      <sz val="8"/>
      <name val="Arial"/>
      <family val="2"/>
    </font>
    <font>
      <sz val="9"/>
      <name val="Arial"/>
      <family val="2"/>
    </font>
    <font>
      <sz val="6"/>
      <name val="ＭＳ Ｐゴシック"/>
      <family val="3"/>
      <charset val="128"/>
    </font>
    <font>
      <sz val="8"/>
      <color indexed="8"/>
      <name val="Arial"/>
      <family val="2"/>
    </font>
    <font>
      <vertAlign val="superscript"/>
      <sz val="8"/>
      <color indexed="8"/>
      <name val="Arial"/>
      <family val="2"/>
    </font>
    <font>
      <sz val="20"/>
      <color indexed="56"/>
      <name val="HGS創英角ｺﾞｼｯｸUB"/>
      <family val="3"/>
      <charset val="128"/>
    </font>
    <font>
      <sz val="12"/>
      <color indexed="56"/>
      <name val="HGS創英角ｺﾞｼｯｸUB"/>
      <family val="3"/>
      <charset val="128"/>
    </font>
    <font>
      <sz val="16"/>
      <color indexed="56"/>
      <name val="HGS創英角ｺﾞｼｯｸUB"/>
      <family val="3"/>
      <charset val="128"/>
    </font>
    <font>
      <sz val="14"/>
      <color indexed="56"/>
      <name val="HGS創英角ｺﾞｼｯｸUB"/>
      <family val="3"/>
      <charset val="128"/>
    </font>
    <font>
      <sz val="13"/>
      <color indexed="9"/>
      <name val="ＭＳ Ｐゴシック"/>
      <family val="3"/>
      <charset val="128"/>
    </font>
    <font>
      <b/>
      <sz val="11"/>
      <name val="HG創英角ｺﾞｼｯｸUB"/>
      <family val="3"/>
      <charset val="128"/>
    </font>
    <font>
      <b/>
      <sz val="11"/>
      <name val="Arial"/>
      <family val="2"/>
    </font>
    <font>
      <b/>
      <sz val="9"/>
      <name val="Arial"/>
      <family val="2"/>
    </font>
    <font>
      <b/>
      <sz val="10"/>
      <name val="Arial"/>
      <family val="2"/>
    </font>
    <font>
      <b/>
      <sz val="10"/>
      <name val="HGS創英角ｺﾞｼｯｸUB"/>
      <family val="3"/>
      <charset val="128"/>
    </font>
    <font>
      <sz val="14"/>
      <name val="Arial"/>
      <family val="2"/>
    </font>
    <font>
      <sz val="10"/>
      <name val="HGS創英角ｺﾞｼｯｸUB"/>
      <family val="3"/>
      <charset val="128"/>
    </font>
    <font>
      <sz val="10"/>
      <name val="HGP創英角ｺﾞｼｯｸUB"/>
      <family val="3"/>
      <charset val="128"/>
    </font>
    <font>
      <b/>
      <sz val="10"/>
      <color indexed="8"/>
      <name val="Arial"/>
      <family val="2"/>
    </font>
    <font>
      <b/>
      <sz val="10"/>
      <color indexed="8"/>
      <name val="HGS創英角ｺﾞｼｯｸUB"/>
      <family val="3"/>
      <charset val="128"/>
    </font>
    <font>
      <b/>
      <sz val="10"/>
      <name val="ＭＳ Ｐゴシック"/>
      <family val="3"/>
      <charset val="128"/>
    </font>
    <font>
      <b/>
      <sz val="10"/>
      <name val="Arial"/>
      <family val="2"/>
    </font>
    <font>
      <b/>
      <sz val="12"/>
      <color indexed="30"/>
      <name val="Arial"/>
      <family val="2"/>
    </font>
    <font>
      <b/>
      <sz val="10"/>
      <name val="HGP創英角ｺﾞｼｯｸUB"/>
      <family val="3"/>
      <charset val="128"/>
    </font>
    <font>
      <b/>
      <sz val="11"/>
      <name val="Arial"/>
      <family val="2"/>
    </font>
    <font>
      <b/>
      <sz val="10"/>
      <name val="Segoe UI Symbol"/>
      <family val="2"/>
    </font>
    <font>
      <sz val="11"/>
      <color theme="0"/>
      <name val="ＭＳ Ｐゴシック"/>
      <family val="3"/>
      <charset val="128"/>
      <scheme val="minor"/>
    </font>
    <font>
      <b/>
      <sz val="11"/>
      <color theme="1"/>
      <name val="ＭＳ Ｐゴシック"/>
      <family val="3"/>
      <charset val="128"/>
      <scheme val="minor"/>
    </font>
    <font>
      <sz val="11"/>
      <color theme="0"/>
      <name val="Arial"/>
      <family val="2"/>
    </font>
    <font>
      <sz val="11"/>
      <color theme="1"/>
      <name val="Arial"/>
      <family val="2"/>
    </font>
    <font>
      <sz val="8"/>
      <color theme="0"/>
      <name val="Arial"/>
      <family val="2"/>
    </font>
    <font>
      <b/>
      <u/>
      <sz val="12"/>
      <color theme="1"/>
      <name val="ＭＳ Ｐゴシック"/>
      <family val="3"/>
      <charset val="128"/>
      <scheme val="minor"/>
    </font>
    <font>
      <sz val="12"/>
      <color theme="1"/>
      <name val="ＭＳ Ｐゴシック"/>
      <family val="3"/>
      <charset val="128"/>
      <scheme val="minor"/>
    </font>
    <font>
      <b/>
      <sz val="14"/>
      <color theme="1"/>
      <name val="Courier New"/>
      <family val="3"/>
    </font>
    <font>
      <b/>
      <u/>
      <sz val="11"/>
      <color theme="1"/>
      <name val="ＭＳ Ｐゴシック"/>
      <family val="3"/>
      <charset val="128"/>
      <scheme val="minor"/>
    </font>
    <font>
      <sz val="8"/>
      <color theme="1"/>
      <name val="Arial"/>
      <family val="2"/>
    </font>
    <font>
      <sz val="8"/>
      <color theme="1"/>
      <name val="ＭＳ Ｐゴシック"/>
      <family val="3"/>
      <charset val="128"/>
      <scheme val="minor"/>
    </font>
    <font>
      <sz val="8"/>
      <color theme="1"/>
      <name val="ＭＳ Ｐゴシック"/>
      <family val="3"/>
      <charset val="128"/>
    </font>
    <font>
      <b/>
      <u/>
      <sz val="14"/>
      <color theme="3"/>
      <name val="ＭＳ Ｐゴシック"/>
      <family val="3"/>
      <charset val="128"/>
      <scheme val="minor"/>
    </font>
    <font>
      <b/>
      <sz val="14"/>
      <color theme="3"/>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6"/>
      <color theme="1"/>
      <name val="Arial"/>
      <family val="2"/>
    </font>
    <font>
      <sz val="10"/>
      <color theme="1"/>
      <name val="Arial"/>
      <family val="2"/>
    </font>
    <font>
      <sz val="12"/>
      <color theme="3" tint="0.79998168889431442"/>
      <name val="Arial"/>
      <family val="2"/>
    </font>
    <font>
      <b/>
      <sz val="11"/>
      <color theme="1"/>
      <name val="Arial"/>
      <family val="2"/>
    </font>
    <font>
      <b/>
      <sz val="12"/>
      <color theme="3" tint="0.79998168889431442"/>
      <name val="Arial"/>
      <family val="2"/>
    </font>
    <font>
      <sz val="10"/>
      <color theme="3"/>
      <name val="Arial"/>
      <family val="2"/>
    </font>
    <font>
      <sz val="10"/>
      <color theme="0"/>
      <name val="Arial"/>
      <family val="2"/>
    </font>
    <font>
      <sz val="10"/>
      <color theme="3" tint="0.79998168889431442"/>
      <name val="Arial"/>
      <family val="2"/>
    </font>
    <font>
      <b/>
      <sz val="10"/>
      <color theme="8" tint="0.59999389629810485"/>
      <name val="Arial"/>
      <family val="2"/>
    </font>
    <font>
      <sz val="10"/>
      <color theme="4" tint="0.59999389629810485"/>
      <name val="Arial"/>
      <family val="2"/>
    </font>
    <font>
      <sz val="10"/>
      <color theme="8" tint="0.59999389629810485"/>
      <name val="Arial"/>
      <family val="2"/>
    </font>
    <font>
      <b/>
      <sz val="9"/>
      <color theme="8" tint="0.59999389629810485"/>
      <name val="Arial"/>
      <family val="2"/>
    </font>
    <font>
      <sz val="20"/>
      <color rgb="FF002060"/>
      <name val="HGS創英角ｺﾞｼｯｸUB"/>
      <family val="3"/>
      <charset val="128"/>
    </font>
    <font>
      <b/>
      <sz val="12"/>
      <color theme="1"/>
      <name val="ＭＳ Ｐゴシック"/>
      <family val="3"/>
      <charset val="128"/>
      <scheme val="minor"/>
    </font>
    <font>
      <sz val="13"/>
      <color theme="0"/>
      <name val="Courier New"/>
      <family val="3"/>
    </font>
    <font>
      <sz val="13"/>
      <color theme="0"/>
      <name val="ＭＳ Ｐゴシック"/>
      <family val="3"/>
      <charset val="128"/>
      <scheme val="minor"/>
    </font>
    <font>
      <b/>
      <sz val="12"/>
      <color rgb="FF0070C0"/>
      <name val="ＭＳ Ｐゴシック"/>
      <family val="3"/>
      <charset val="128"/>
      <scheme val="minor"/>
    </font>
    <font>
      <b/>
      <sz val="11"/>
      <color rgb="FF0070C0"/>
      <name val="ＭＳ Ｐゴシック"/>
      <family val="3"/>
      <charset val="128"/>
      <scheme val="minor"/>
    </font>
    <font>
      <b/>
      <sz val="11"/>
      <color rgb="FF0070C0"/>
      <name val="Arial"/>
      <family val="2"/>
    </font>
    <font>
      <sz val="11"/>
      <color rgb="FF0070C0"/>
      <name val="Arial"/>
      <family val="2"/>
    </font>
    <font>
      <sz val="14"/>
      <color theme="0"/>
      <name val="ＭＳ Ｐゴシック"/>
      <family val="3"/>
      <charset val="128"/>
      <scheme val="minor"/>
    </font>
    <font>
      <b/>
      <sz val="10"/>
      <color rgb="FF002060"/>
      <name val="Arial"/>
      <family val="2"/>
    </font>
    <font>
      <b/>
      <sz val="10"/>
      <color theme="1"/>
      <name val="Arial"/>
      <family val="2"/>
    </font>
    <font>
      <b/>
      <sz val="9"/>
      <color theme="1"/>
      <name val="Arial"/>
      <family val="2"/>
    </font>
    <font>
      <b/>
      <sz val="14"/>
      <color theme="0"/>
      <name val="Arial"/>
      <family val="2"/>
    </font>
    <font>
      <b/>
      <sz val="10"/>
      <color rgb="FF000000"/>
      <name val="Arial"/>
      <family val="2"/>
    </font>
    <font>
      <sz val="14"/>
      <color theme="0"/>
      <name val="Arial"/>
      <family val="2"/>
    </font>
    <font>
      <b/>
      <sz val="11"/>
      <name val="Arial"/>
      <family val="3"/>
      <charset val="128"/>
    </font>
    <font>
      <b/>
      <sz val="11"/>
      <name val="Segoe UI Symbol"/>
      <family val="2"/>
    </font>
    <font>
      <b/>
      <sz val="12"/>
      <color theme="1"/>
      <name val="Arial"/>
      <family val="2"/>
    </font>
    <font>
      <sz val="11"/>
      <name val="Arial"/>
      <family val="3"/>
    </font>
    <font>
      <sz val="11"/>
      <name val="ＭＳ Ｐゴシック"/>
      <family val="2"/>
      <charset val="128"/>
    </font>
    <font>
      <sz val="11"/>
      <name val="Yu Gothic"/>
      <family val="2"/>
      <charset val="128"/>
    </font>
    <font>
      <b/>
      <sz val="9"/>
      <color theme="1"/>
      <name val="ＭＳ Ｐゴシック"/>
      <family val="3"/>
      <charset val="128"/>
      <scheme val="minor"/>
    </font>
    <font>
      <sz val="6"/>
      <name val="ＭＳ Ｐゴシック"/>
      <family val="3"/>
      <charset val="128"/>
      <scheme val="minor"/>
    </font>
    <font>
      <b/>
      <u/>
      <sz val="10"/>
      <color theme="1"/>
      <name val="ＭＳ Ｐゴシック"/>
      <family val="3"/>
      <charset val="128"/>
      <scheme val="major"/>
    </font>
    <font>
      <b/>
      <sz val="10"/>
      <color theme="1"/>
      <name val="ＭＳ Ｐゴシック"/>
      <family val="3"/>
      <charset val="128"/>
      <scheme val="major"/>
    </font>
    <font>
      <b/>
      <sz val="10"/>
      <color theme="1"/>
      <name val="ＭＳ Ｐゴシック"/>
      <family val="3"/>
      <charset val="128"/>
      <scheme val="minor"/>
    </font>
    <font>
      <b/>
      <u/>
      <sz val="12"/>
      <color theme="1"/>
      <name val="ＭＳ Ｐゴシック"/>
      <family val="3"/>
      <charset val="128"/>
      <scheme val="major"/>
    </font>
  </fonts>
  <fills count="13">
    <fill>
      <patternFill patternType="none"/>
    </fill>
    <fill>
      <patternFill patternType="gray125"/>
    </fill>
    <fill>
      <patternFill patternType="solid">
        <fgColor theme="0"/>
        <bgColor indexed="64"/>
      </patternFill>
    </fill>
    <fill>
      <patternFill patternType="solid">
        <fgColor rgb="FFCCCCFF"/>
        <bgColor indexed="64"/>
      </patternFill>
    </fill>
    <fill>
      <patternFill patternType="solid">
        <fgColor theme="3" tint="0.79998168889431442"/>
        <bgColor indexed="64"/>
      </patternFill>
    </fill>
    <fill>
      <patternFill patternType="solid">
        <fgColor rgb="FFFFFF99"/>
        <bgColor indexed="64"/>
      </patternFill>
    </fill>
    <fill>
      <patternFill patternType="solid">
        <fgColor rgb="FFFFCC99"/>
        <bgColor indexed="64"/>
      </patternFill>
    </fill>
    <fill>
      <patternFill patternType="solid">
        <fgColor rgb="FF66FF66"/>
        <bgColor indexed="64"/>
      </patternFill>
    </fill>
    <fill>
      <patternFill patternType="solid">
        <fgColor rgb="FF0070C0"/>
        <bgColor indexed="64"/>
      </patternFill>
    </fill>
    <fill>
      <patternFill patternType="solid">
        <fgColor rgb="FF99FF99"/>
        <bgColor indexed="64"/>
      </patternFill>
    </fill>
    <fill>
      <patternFill patternType="solid">
        <fgColor rgb="FFFFFF66"/>
        <bgColor indexed="64"/>
      </patternFill>
    </fill>
    <fill>
      <patternFill patternType="solid">
        <fgColor rgb="FFCCFFFF"/>
        <bgColor indexed="64"/>
      </patternFill>
    </fill>
    <fill>
      <patternFill patternType="solid">
        <fgColor rgb="FF66FF33"/>
        <bgColor indexed="64"/>
      </patternFill>
    </fill>
  </fills>
  <borders count="88">
    <border>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top style="medium">
        <color theme="8" tint="-0.249977111117893"/>
      </top>
      <bottom/>
      <diagonal/>
    </border>
    <border>
      <left/>
      <right style="medium">
        <color theme="8" tint="-0.249977111117893"/>
      </right>
      <top style="medium">
        <color theme="8" tint="-0.249977111117893"/>
      </top>
      <bottom/>
      <diagonal/>
    </border>
    <border>
      <left style="medium">
        <color theme="8" tint="-0.249977111117893"/>
      </left>
      <right/>
      <top/>
      <bottom/>
      <diagonal/>
    </border>
    <border>
      <left/>
      <right style="medium">
        <color theme="8" tint="-0.249977111117893"/>
      </right>
      <top/>
      <bottom/>
      <diagonal/>
    </border>
    <border>
      <left style="medium">
        <color theme="8" tint="-0.249977111117893"/>
      </left>
      <right/>
      <top/>
      <bottom style="medium">
        <color theme="8" tint="-0.249977111117893"/>
      </bottom>
      <diagonal/>
    </border>
    <border>
      <left/>
      <right/>
      <top/>
      <bottom style="medium">
        <color theme="8" tint="-0.249977111117893"/>
      </bottom>
      <diagonal/>
    </border>
    <border>
      <left/>
      <right style="medium">
        <color theme="8" tint="-0.249977111117893"/>
      </right>
      <top/>
      <bottom style="medium">
        <color theme="8" tint="-0.249977111117893"/>
      </bottom>
      <diagonal/>
    </border>
    <border>
      <left/>
      <right/>
      <top style="medium">
        <color theme="3"/>
      </top>
      <bottom/>
      <diagonal/>
    </border>
    <border>
      <left style="medium">
        <color theme="3"/>
      </left>
      <right/>
      <top style="medium">
        <color theme="3"/>
      </top>
      <bottom/>
      <diagonal/>
    </border>
    <border>
      <left style="medium">
        <color theme="8" tint="-0.249977111117893"/>
      </left>
      <right/>
      <top style="medium">
        <color theme="8" tint="-0.249977111117893"/>
      </top>
      <bottom/>
      <diagonal/>
    </border>
    <border>
      <left/>
      <right style="medium">
        <color theme="3"/>
      </right>
      <top style="thin">
        <color indexed="64"/>
      </top>
      <bottom style="thin">
        <color indexed="64"/>
      </bottom>
      <diagonal/>
    </border>
    <border>
      <left style="thin">
        <color indexed="64"/>
      </left>
      <right style="medium">
        <color theme="3"/>
      </right>
      <top style="thin">
        <color indexed="64"/>
      </top>
      <bottom style="thin">
        <color indexed="64"/>
      </bottom>
      <diagonal/>
    </border>
    <border>
      <left/>
      <right style="thin">
        <color indexed="64"/>
      </right>
      <top style="medium">
        <color theme="3"/>
      </top>
      <bottom style="thin">
        <color indexed="64"/>
      </bottom>
      <diagonal/>
    </border>
    <border>
      <left style="thin">
        <color indexed="64"/>
      </left>
      <right style="thin">
        <color indexed="64"/>
      </right>
      <top style="medium">
        <color theme="3"/>
      </top>
      <bottom style="thin">
        <color indexed="64"/>
      </bottom>
      <diagonal/>
    </border>
    <border>
      <left style="thin">
        <color indexed="64"/>
      </left>
      <right style="medium">
        <color theme="3"/>
      </right>
      <top style="medium">
        <color theme="3"/>
      </top>
      <bottom style="thin">
        <color indexed="64"/>
      </bottom>
      <diagonal/>
    </border>
    <border>
      <left/>
      <right style="thin">
        <color indexed="64"/>
      </right>
      <top style="thin">
        <color indexed="64"/>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thin">
        <color indexed="64"/>
      </top>
      <bottom style="medium">
        <color theme="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902">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0" xfId="0" applyFont="1" applyAlignment="1">
      <alignment horizontal="center" vertical="center"/>
    </xf>
    <xf numFmtId="0" fontId="5" fillId="0" borderId="0" xfId="0" applyFont="1">
      <alignment vertical="center"/>
    </xf>
    <xf numFmtId="0" fontId="4" fillId="3" borderId="0" xfId="0" applyFont="1" applyFill="1" applyAlignment="1">
      <alignment horizontal="center" vertical="center"/>
    </xf>
    <xf numFmtId="0" fontId="2" fillId="3" borderId="1" xfId="0" applyFont="1" applyFill="1" applyBorder="1">
      <alignment vertical="center"/>
    </xf>
    <xf numFmtId="0" fontId="2" fillId="3" borderId="0" xfId="0" applyFont="1" applyFill="1">
      <alignment vertical="center"/>
    </xf>
    <xf numFmtId="49" fontId="45" fillId="0" borderId="0" xfId="0" applyNumberFormat="1" applyFont="1" applyAlignment="1">
      <alignment vertical="center" shrinkToFit="1"/>
    </xf>
    <xf numFmtId="0" fontId="4" fillId="0" borderId="0" xfId="0" applyFont="1" applyAlignment="1">
      <alignment horizontal="center" vertical="center"/>
    </xf>
    <xf numFmtId="0" fontId="2" fillId="2" borderId="0" xfId="0" applyFont="1" applyFill="1" applyAlignment="1">
      <alignment horizontal="center" vertical="center"/>
    </xf>
    <xf numFmtId="0" fontId="5" fillId="0" borderId="0" xfId="0" applyFont="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0" xfId="0" applyFont="1" applyFill="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4" fillId="0" borderId="0" xfId="0" applyFont="1">
      <alignment vertical="center"/>
    </xf>
    <xf numFmtId="0" fontId="2" fillId="4" borderId="0" xfId="0" applyFont="1" applyFill="1" applyAlignment="1">
      <alignment horizontal="center" vertical="center"/>
    </xf>
    <xf numFmtId="0" fontId="2" fillId="4" borderId="1" xfId="0" applyFont="1" applyFill="1" applyBorder="1" applyAlignment="1">
      <alignment horizontal="center" vertical="center"/>
    </xf>
    <xf numFmtId="0" fontId="2" fillId="3" borderId="2"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4" borderId="58" xfId="0" applyFont="1" applyFill="1" applyBorder="1">
      <alignment vertical="center"/>
    </xf>
    <xf numFmtId="0" fontId="2" fillId="3" borderId="59" xfId="0" applyFont="1" applyFill="1" applyBorder="1">
      <alignment vertical="center"/>
    </xf>
    <xf numFmtId="0" fontId="2" fillId="3" borderId="60" xfId="0" applyFont="1" applyFill="1" applyBorder="1">
      <alignment vertical="center"/>
    </xf>
    <xf numFmtId="0" fontId="2" fillId="3" borderId="61" xfId="0" applyFont="1" applyFill="1" applyBorder="1">
      <alignment vertical="center"/>
    </xf>
    <xf numFmtId="0" fontId="2" fillId="3" borderId="62" xfId="0" applyFont="1" applyFill="1" applyBorder="1">
      <alignment vertical="center"/>
    </xf>
    <xf numFmtId="0" fontId="2" fillId="3" borderId="63" xfId="0" applyFont="1" applyFill="1" applyBorder="1">
      <alignment vertical="center"/>
    </xf>
    <xf numFmtId="0" fontId="4" fillId="0" borderId="4" xfId="0" applyFont="1" applyBorder="1">
      <alignment vertical="center"/>
    </xf>
    <xf numFmtId="0" fontId="46" fillId="0" borderId="0" xfId="0" applyFont="1">
      <alignment vertical="center"/>
    </xf>
    <xf numFmtId="0" fontId="47" fillId="0" borderId="0" xfId="0" applyFont="1" applyAlignment="1" applyProtection="1">
      <alignment horizontal="center" vertical="center"/>
      <protection hidden="1"/>
    </xf>
    <xf numFmtId="0" fontId="45" fillId="0" borderId="0" xfId="0" applyFont="1" applyAlignment="1" applyProtection="1">
      <alignment horizontal="center" vertical="center"/>
      <protection hidden="1"/>
    </xf>
    <xf numFmtId="180" fontId="0" fillId="0" borderId="0" xfId="0" applyNumberFormat="1">
      <alignment vertical="center"/>
    </xf>
    <xf numFmtId="0" fontId="0" fillId="2" borderId="0" xfId="0" applyFill="1">
      <alignment vertical="center"/>
    </xf>
    <xf numFmtId="0" fontId="0" fillId="2" borderId="64" xfId="0" applyFill="1" applyBorder="1">
      <alignment vertical="center"/>
    </xf>
    <xf numFmtId="0" fontId="0" fillId="2" borderId="65" xfId="0" applyFill="1" applyBorder="1">
      <alignment vertical="center"/>
    </xf>
    <xf numFmtId="0" fontId="0" fillId="2" borderId="66" xfId="0" applyFill="1" applyBorder="1">
      <alignment vertical="center"/>
    </xf>
    <xf numFmtId="0" fontId="0" fillId="2" borderId="67" xfId="0" applyFill="1" applyBorder="1">
      <alignment vertical="center"/>
    </xf>
    <xf numFmtId="0" fontId="0" fillId="2" borderId="67" xfId="0" applyFill="1" applyBorder="1" applyAlignment="1">
      <alignment horizontal="center" vertical="center"/>
    </xf>
    <xf numFmtId="0" fontId="48" fillId="2" borderId="0" xfId="0" applyFont="1" applyFill="1">
      <alignment vertical="center"/>
    </xf>
    <xf numFmtId="0" fontId="49" fillId="2" borderId="0" xfId="0" applyFont="1" applyFill="1">
      <alignment vertical="center"/>
    </xf>
    <xf numFmtId="0" fontId="49" fillId="0" borderId="0" xfId="0" applyFont="1">
      <alignment vertical="center"/>
    </xf>
    <xf numFmtId="49" fontId="49" fillId="0" borderId="0" xfId="0" applyNumberFormat="1" applyFont="1">
      <alignment vertical="center"/>
    </xf>
    <xf numFmtId="0" fontId="50" fillId="2" borderId="0" xfId="0" applyFont="1" applyFill="1">
      <alignment vertical="center"/>
    </xf>
    <xf numFmtId="0" fontId="49" fillId="0" borderId="0" xfId="0" applyFont="1" applyAlignment="1">
      <alignment horizontal="right" vertical="center"/>
    </xf>
    <xf numFmtId="0" fontId="0" fillId="5" borderId="6" xfId="0" applyFill="1" applyBorder="1">
      <alignment vertical="center"/>
    </xf>
    <xf numFmtId="0" fontId="0" fillId="5" borderId="7" xfId="0" applyFill="1" applyBorder="1">
      <alignment vertical="center"/>
    </xf>
    <xf numFmtId="0" fontId="51" fillId="5" borderId="2" xfId="0" applyFont="1" applyFill="1" applyBorder="1">
      <alignment vertical="center"/>
    </xf>
    <xf numFmtId="0" fontId="0" fillId="5" borderId="0" xfId="0" applyFill="1">
      <alignment vertical="center"/>
    </xf>
    <xf numFmtId="0" fontId="0" fillId="5" borderId="1" xfId="0" applyFill="1" applyBorder="1">
      <alignment vertical="center"/>
    </xf>
    <xf numFmtId="0" fontId="49" fillId="5" borderId="3" xfId="0" applyFont="1" applyFill="1" applyBorder="1">
      <alignment vertical="center"/>
    </xf>
    <xf numFmtId="0" fontId="49" fillId="5" borderId="4" xfId="0" applyFont="1" applyFill="1" applyBorder="1">
      <alignment vertical="center"/>
    </xf>
    <xf numFmtId="0" fontId="49" fillId="5" borderId="5" xfId="0" applyFont="1" applyFill="1" applyBorder="1">
      <alignment vertical="center"/>
    </xf>
    <xf numFmtId="0" fontId="0" fillId="2" borderId="68" xfId="0" applyFill="1" applyBorder="1">
      <alignment vertical="center"/>
    </xf>
    <xf numFmtId="0" fontId="0" fillId="2" borderId="69" xfId="0" applyFill="1" applyBorder="1">
      <alignment vertical="center"/>
    </xf>
    <xf numFmtId="0" fontId="0" fillId="2" borderId="70" xfId="0" applyFill="1" applyBorder="1">
      <alignment vertical="center"/>
    </xf>
    <xf numFmtId="0" fontId="52" fillId="0" borderId="0" xfId="0" applyFont="1" applyProtection="1">
      <alignment vertical="center"/>
      <protection hidden="1"/>
    </xf>
    <xf numFmtId="0" fontId="53" fillId="0" borderId="0" xfId="0" applyFont="1" applyProtection="1">
      <alignment vertical="center"/>
      <protection hidden="1"/>
    </xf>
    <xf numFmtId="179" fontId="52" fillId="0" borderId="0" xfId="0" applyNumberFormat="1" applyFont="1" applyAlignment="1" applyProtection="1">
      <alignment vertical="center" shrinkToFit="1"/>
      <protection hidden="1"/>
    </xf>
    <xf numFmtId="49" fontId="52" fillId="0" borderId="0" xfId="0" applyNumberFormat="1" applyFont="1" applyProtection="1">
      <alignment vertical="center"/>
      <protection hidden="1"/>
    </xf>
    <xf numFmtId="0" fontId="52" fillId="0" borderId="0" xfId="0" applyFont="1" applyAlignment="1" applyProtection="1">
      <alignment vertical="center" shrinkToFit="1"/>
      <protection hidden="1"/>
    </xf>
    <xf numFmtId="176" fontId="52" fillId="0" borderId="0" xfId="0" applyNumberFormat="1" applyFont="1" applyAlignment="1" applyProtection="1">
      <alignment vertical="center" shrinkToFit="1"/>
      <protection hidden="1"/>
    </xf>
    <xf numFmtId="176" fontId="52" fillId="0" borderId="0" xfId="0" applyNumberFormat="1" applyFont="1" applyProtection="1">
      <alignment vertical="center"/>
      <protection hidden="1"/>
    </xf>
    <xf numFmtId="0" fontId="46" fillId="0" borderId="0" xfId="0" applyFont="1" applyProtection="1">
      <alignment vertical="center"/>
      <protection hidden="1"/>
    </xf>
    <xf numFmtId="0" fontId="54" fillId="0" borderId="0" xfId="0" applyFont="1" applyProtection="1">
      <alignment vertical="center"/>
      <protection hidden="1"/>
    </xf>
    <xf numFmtId="178" fontId="52" fillId="0" borderId="0" xfId="0" applyNumberFormat="1" applyFont="1" applyAlignment="1" applyProtection="1">
      <alignment vertical="center" shrinkToFit="1"/>
      <protection hidden="1"/>
    </xf>
    <xf numFmtId="49" fontId="52" fillId="0" borderId="0" xfId="0" applyNumberFormat="1" applyFont="1" applyAlignment="1" applyProtection="1">
      <alignment horizontal="left" vertical="center"/>
      <protection hidden="1"/>
    </xf>
    <xf numFmtId="49" fontId="53" fillId="0" borderId="0" xfId="0" applyNumberFormat="1" applyFont="1" applyAlignment="1" applyProtection="1">
      <alignment horizontal="left" vertical="center"/>
      <protection hidden="1"/>
    </xf>
    <xf numFmtId="0" fontId="52" fillId="0" borderId="0" xfId="0" applyFont="1" applyAlignment="1" applyProtection="1">
      <alignment horizontal="center" vertical="center"/>
      <protection hidden="1"/>
    </xf>
    <xf numFmtId="0" fontId="46" fillId="0" borderId="0" xfId="0" applyFont="1" applyAlignment="1" applyProtection="1">
      <alignment horizontal="center" vertical="center"/>
      <protection hidden="1"/>
    </xf>
    <xf numFmtId="0" fontId="46" fillId="0" borderId="0" xfId="0" applyFont="1" applyAlignment="1">
      <alignment horizontal="center" vertical="center"/>
    </xf>
    <xf numFmtId="0" fontId="55" fillId="0" borderId="0" xfId="0" applyFont="1">
      <alignment vertical="center"/>
    </xf>
    <xf numFmtId="0" fontId="56" fillId="0" borderId="0" xfId="0" applyFont="1">
      <alignment vertical="center"/>
    </xf>
    <xf numFmtId="0" fontId="2" fillId="0" borderId="0" xfId="0" applyFont="1" applyProtection="1">
      <alignment vertical="center"/>
      <protection hidden="1"/>
    </xf>
    <xf numFmtId="0" fontId="2" fillId="0" borderId="0" xfId="0" applyFont="1" applyAlignment="1" applyProtection="1">
      <alignment horizontal="center" vertical="center"/>
      <protection hidden="1"/>
    </xf>
    <xf numFmtId="49" fontId="2" fillId="0" borderId="0" xfId="0" applyNumberFormat="1" applyFont="1">
      <alignment vertical="center"/>
    </xf>
    <xf numFmtId="49" fontId="2" fillId="0" borderId="0" xfId="0" applyNumberFormat="1" applyFont="1" applyAlignment="1">
      <alignment horizontal="center" vertical="center"/>
    </xf>
    <xf numFmtId="177" fontId="0" fillId="0" borderId="0" xfId="0" applyNumberFormat="1">
      <alignment vertical="center"/>
    </xf>
    <xf numFmtId="14" fontId="0" fillId="0" borderId="0" xfId="0" applyNumberFormat="1">
      <alignment vertical="center"/>
    </xf>
    <xf numFmtId="49" fontId="49" fillId="0" borderId="4" xfId="0" applyNumberFormat="1" applyFont="1" applyBorder="1">
      <alignment vertical="center"/>
    </xf>
    <xf numFmtId="0" fontId="57" fillId="0" borderId="0" xfId="0" applyFont="1">
      <alignment vertical="center"/>
    </xf>
    <xf numFmtId="0" fontId="57" fillId="0" borderId="0" xfId="0" applyFont="1" applyAlignment="1">
      <alignment vertical="center" wrapText="1"/>
    </xf>
    <xf numFmtId="0" fontId="53" fillId="0" borderId="0" xfId="0" applyFont="1">
      <alignment vertical="center"/>
    </xf>
    <xf numFmtId="181" fontId="0" fillId="0" borderId="0" xfId="0" applyNumberFormat="1">
      <alignment vertical="center"/>
    </xf>
    <xf numFmtId="49" fontId="58" fillId="0" borderId="0" xfId="0" applyNumberFormat="1" applyFont="1" applyAlignment="1">
      <alignment horizontal="right" vertical="center"/>
    </xf>
    <xf numFmtId="49" fontId="53" fillId="0" borderId="0" xfId="0" applyNumberFormat="1" applyFont="1" applyAlignment="1">
      <alignment horizontal="right" vertical="center"/>
    </xf>
    <xf numFmtId="0" fontId="45" fillId="0" borderId="0" xfId="0" applyFont="1">
      <alignment vertical="center"/>
    </xf>
    <xf numFmtId="14" fontId="0" fillId="0" borderId="9" xfId="0" applyNumberFormat="1" applyBorder="1">
      <alignment vertical="center"/>
    </xf>
    <xf numFmtId="0" fontId="59" fillId="0" borderId="0" xfId="0" applyFont="1">
      <alignment vertical="center"/>
    </xf>
    <xf numFmtId="0" fontId="60" fillId="0" borderId="0" xfId="0" applyFont="1">
      <alignment vertical="center"/>
    </xf>
    <xf numFmtId="181" fontId="60" fillId="0" borderId="0" xfId="0" applyNumberFormat="1" applyFont="1">
      <alignment vertical="center"/>
    </xf>
    <xf numFmtId="0" fontId="6" fillId="4" borderId="71" xfId="0" applyFont="1" applyFill="1" applyBorder="1">
      <alignment vertical="center"/>
    </xf>
    <xf numFmtId="0" fontId="61" fillId="4" borderId="58" xfId="0" applyFont="1" applyFill="1" applyBorder="1">
      <alignment vertical="center"/>
    </xf>
    <xf numFmtId="0" fontId="62" fillId="0" borderId="0" xfId="0" applyFont="1">
      <alignment vertical="center"/>
    </xf>
    <xf numFmtId="0" fontId="32" fillId="4" borderId="0" xfId="0" applyFont="1" applyFill="1" applyAlignment="1">
      <alignment horizontal="center" vertical="center"/>
    </xf>
    <xf numFmtId="0" fontId="32" fillId="4" borderId="71" xfId="0" applyFont="1" applyFill="1" applyBorder="1">
      <alignment vertical="center"/>
    </xf>
    <xf numFmtId="0" fontId="63" fillId="4" borderId="10" xfId="0" applyFont="1" applyFill="1" applyBorder="1">
      <alignment vertical="center"/>
    </xf>
    <xf numFmtId="0" fontId="63" fillId="4" borderId="72" xfId="0" applyFont="1" applyFill="1" applyBorder="1">
      <alignment vertical="center"/>
    </xf>
    <xf numFmtId="0" fontId="3" fillId="4" borderId="0" xfId="0" applyFont="1" applyFill="1">
      <alignment vertical="center"/>
    </xf>
    <xf numFmtId="0" fontId="3" fillId="4" borderId="1" xfId="0" applyFont="1" applyFill="1" applyBorder="1">
      <alignment vertical="center"/>
    </xf>
    <xf numFmtId="0" fontId="4" fillId="4" borderId="71" xfId="0" applyFont="1" applyFill="1" applyBorder="1">
      <alignment vertical="center"/>
    </xf>
    <xf numFmtId="0" fontId="4" fillId="4" borderId="58" xfId="0" applyFont="1" applyFill="1" applyBorder="1">
      <alignment vertical="center"/>
    </xf>
    <xf numFmtId="0" fontId="48" fillId="5" borderId="10" xfId="0" applyFont="1" applyFill="1" applyBorder="1">
      <alignment vertical="center"/>
    </xf>
    <xf numFmtId="0" fontId="0" fillId="2" borderId="73" xfId="0" applyFill="1" applyBorder="1">
      <alignment vertical="center"/>
    </xf>
    <xf numFmtId="49" fontId="0" fillId="0" borderId="0" xfId="0" applyNumberFormat="1">
      <alignment vertical="center"/>
    </xf>
    <xf numFmtId="0" fontId="7" fillId="0" borderId="0" xfId="0" applyFont="1" applyAlignment="1">
      <alignment horizontal="center" vertical="center"/>
    </xf>
    <xf numFmtId="0" fontId="64" fillId="0" borderId="0" xfId="0" applyFont="1">
      <alignment vertical="center"/>
    </xf>
    <xf numFmtId="0" fontId="5" fillId="2" borderId="0" xfId="0" applyFont="1" applyFill="1">
      <alignment vertical="center"/>
    </xf>
    <xf numFmtId="49" fontId="65" fillId="0" borderId="0" xfId="0" applyNumberFormat="1" applyFont="1" applyAlignment="1">
      <alignment vertical="center" wrapText="1"/>
    </xf>
    <xf numFmtId="0" fontId="66" fillId="4" borderId="59" xfId="0" applyFont="1" applyFill="1" applyBorder="1">
      <alignment vertical="center"/>
    </xf>
    <xf numFmtId="0" fontId="67" fillId="4" borderId="0" xfId="0" applyFont="1" applyFill="1" applyAlignment="1">
      <alignment horizontal="center" vertical="center"/>
    </xf>
    <xf numFmtId="0" fontId="66" fillId="4" borderId="60" xfId="0" applyFont="1" applyFill="1" applyBorder="1">
      <alignment vertical="center"/>
    </xf>
    <xf numFmtId="0" fontId="68" fillId="0" borderId="0" xfId="0" applyFont="1">
      <alignment vertical="center"/>
    </xf>
    <xf numFmtId="0" fontId="5" fillId="4" borderId="0" xfId="0" applyFont="1" applyFill="1">
      <alignment vertical="center"/>
    </xf>
    <xf numFmtId="0" fontId="69" fillId="4" borderId="0" xfId="0" applyFont="1" applyFill="1">
      <alignment vertical="center"/>
    </xf>
    <xf numFmtId="0" fontId="66" fillId="4" borderId="61" xfId="0" applyFont="1" applyFill="1" applyBorder="1">
      <alignment vertical="center"/>
    </xf>
    <xf numFmtId="0" fontId="66" fillId="4" borderId="62" xfId="0" applyFont="1" applyFill="1" applyBorder="1">
      <alignment vertical="center"/>
    </xf>
    <xf numFmtId="0" fontId="66" fillId="4" borderId="63" xfId="0" applyFont="1" applyFill="1" applyBorder="1">
      <alignment vertical="center"/>
    </xf>
    <xf numFmtId="0" fontId="70" fillId="4" borderId="0" xfId="0" applyFont="1" applyFill="1" applyAlignment="1">
      <alignment horizontal="center" vertical="center"/>
    </xf>
    <xf numFmtId="181" fontId="46" fillId="0" borderId="0" xfId="0" applyNumberFormat="1" applyFont="1">
      <alignment vertical="center"/>
    </xf>
    <xf numFmtId="0" fontId="62" fillId="6" borderId="8" xfId="0" applyFont="1" applyFill="1" applyBorder="1">
      <alignment vertical="center"/>
    </xf>
    <xf numFmtId="0" fontId="2" fillId="0" borderId="0" xfId="0" applyFont="1" applyAlignment="1">
      <alignment horizontal="right" vertical="center"/>
    </xf>
    <xf numFmtId="176" fontId="2" fillId="0" borderId="0" xfId="0" applyNumberFormat="1" applyFont="1">
      <alignment vertical="center"/>
    </xf>
    <xf numFmtId="0" fontId="52" fillId="0" borderId="0" xfId="0" applyFont="1">
      <alignment vertical="center"/>
    </xf>
    <xf numFmtId="0" fontId="17" fillId="0" borderId="0" xfId="0" applyFont="1">
      <alignment vertical="center"/>
    </xf>
    <xf numFmtId="0" fontId="71" fillId="5" borderId="10" xfId="0" applyFont="1" applyFill="1" applyBorder="1" applyAlignment="1">
      <alignment vertical="center" wrapText="1" shrinkToFit="1"/>
    </xf>
    <xf numFmtId="0" fontId="0" fillId="0" borderId="6" xfId="0" applyBorder="1" applyAlignment="1">
      <alignment vertical="center" wrapText="1"/>
    </xf>
    <xf numFmtId="0" fontId="0" fillId="0" borderId="7" xfId="0"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72" fillId="5" borderId="2" xfId="0" applyFont="1" applyFill="1" applyBorder="1" applyAlignment="1">
      <alignment vertical="center" wrapText="1"/>
    </xf>
    <xf numFmtId="0" fontId="44" fillId="5" borderId="0" xfId="0" applyFont="1" applyFill="1" applyAlignment="1">
      <alignment vertical="center" wrapText="1"/>
    </xf>
    <xf numFmtId="0" fontId="44" fillId="5" borderId="1" xfId="0" applyFont="1" applyFill="1" applyBorder="1" applyAlignment="1">
      <alignment vertical="center" wrapText="1"/>
    </xf>
    <xf numFmtId="0" fontId="44" fillId="0" borderId="2" xfId="0" applyFont="1" applyBorder="1" applyAlignment="1">
      <alignment vertical="center" wrapText="1"/>
    </xf>
    <xf numFmtId="0" fontId="44" fillId="0" borderId="0" xfId="0" applyFont="1" applyAlignment="1">
      <alignment vertical="center" wrapText="1"/>
    </xf>
    <xf numFmtId="0" fontId="44" fillId="0" borderId="1" xfId="0" applyFont="1" applyBorder="1" applyAlignment="1">
      <alignment vertical="center" wrapText="1"/>
    </xf>
    <xf numFmtId="0" fontId="73" fillId="2" borderId="0" xfId="0" applyFont="1" applyFill="1" applyAlignment="1">
      <alignment horizontal="right" vertical="center" wrapText="1"/>
    </xf>
    <xf numFmtId="0" fontId="74" fillId="0" borderId="0" xfId="0" applyFont="1" applyAlignment="1">
      <alignment horizontal="right" vertical="center" wrapText="1"/>
    </xf>
    <xf numFmtId="49" fontId="43" fillId="2" borderId="0" xfId="0" applyNumberFormat="1" applyFont="1" applyFill="1" applyAlignment="1">
      <alignment horizontal="center" vertical="center" wrapText="1"/>
    </xf>
    <xf numFmtId="0" fontId="75" fillId="2" borderId="0" xfId="0" applyFont="1" applyFill="1" applyAlignment="1">
      <alignment horizontal="right" vertical="center" wrapText="1"/>
    </xf>
    <xf numFmtId="0" fontId="76" fillId="0" borderId="0" xfId="0" applyFont="1" applyAlignment="1">
      <alignment horizontal="right" vertical="center" wrapText="1"/>
    </xf>
    <xf numFmtId="14" fontId="77" fillId="2" borderId="0" xfId="0" applyNumberFormat="1" applyFont="1" applyFill="1" applyAlignment="1">
      <alignment horizontal="left" vertical="center" wrapText="1"/>
    </xf>
    <xf numFmtId="0" fontId="78" fillId="0" borderId="0" xfId="0" applyFont="1" applyAlignment="1">
      <alignment horizontal="left" vertical="center" wrapText="1"/>
    </xf>
    <xf numFmtId="0" fontId="72" fillId="5" borderId="0" xfId="0" applyFont="1" applyFill="1" applyAlignment="1">
      <alignment vertical="center" wrapText="1"/>
    </xf>
    <xf numFmtId="0" fontId="72" fillId="5" borderId="1" xfId="0" applyFont="1" applyFill="1" applyBorder="1" applyAlignment="1">
      <alignment vertical="center" wrapText="1"/>
    </xf>
    <xf numFmtId="0" fontId="49" fillId="0" borderId="2" xfId="0" applyFont="1" applyBorder="1" applyAlignment="1">
      <alignment vertical="center" wrapText="1"/>
    </xf>
    <xf numFmtId="0" fontId="49" fillId="0" borderId="0" xfId="0" applyFont="1" applyAlignment="1">
      <alignment vertical="center" wrapText="1"/>
    </xf>
    <xf numFmtId="0" fontId="49" fillId="0" borderId="1" xfId="0" applyFont="1" applyBorder="1" applyAlignment="1">
      <alignment vertical="center" wrapText="1"/>
    </xf>
    <xf numFmtId="49" fontId="43" fillId="0" borderId="4" xfId="0" applyNumberFormat="1" applyFont="1" applyBorder="1" applyAlignment="1">
      <alignment horizontal="right" vertical="center" wrapText="1"/>
    </xf>
    <xf numFmtId="0" fontId="43" fillId="0" borderId="4" xfId="0" applyFont="1" applyBorder="1" applyAlignment="1">
      <alignment horizontal="right" vertical="center" wrapText="1"/>
    </xf>
    <xf numFmtId="0" fontId="4" fillId="7" borderId="20" xfId="0" applyFont="1"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0" fontId="4" fillId="6" borderId="52"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8" xfId="0" applyBorder="1" applyAlignment="1">
      <alignment horizontal="center" vertical="center" wrapText="1"/>
    </xf>
    <xf numFmtId="0" fontId="3" fillId="11" borderId="10"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9" fillId="11" borderId="2" xfId="0" applyFont="1" applyFill="1" applyBorder="1" applyAlignment="1">
      <alignment horizontal="left" vertical="center" wrapText="1"/>
    </xf>
    <xf numFmtId="0" fontId="92" fillId="0" borderId="0" xfId="0" applyFont="1" applyAlignment="1">
      <alignment horizontal="left" vertical="center" wrapText="1"/>
    </xf>
    <xf numFmtId="0" fontId="92" fillId="0" borderId="1" xfId="0" applyFont="1" applyBorder="1" applyAlignment="1">
      <alignment horizontal="left" vertical="center" wrapText="1"/>
    </xf>
    <xf numFmtId="0" fontId="92" fillId="0" borderId="2" xfId="0" applyFont="1" applyBorder="1" applyAlignment="1">
      <alignment horizontal="left" vertical="center" wrapText="1"/>
    </xf>
    <xf numFmtId="0" fontId="82" fillId="5" borderId="10" xfId="0" applyFont="1" applyFill="1" applyBorder="1" applyAlignment="1">
      <alignment horizontal="center" vertical="center" wrapText="1"/>
    </xf>
    <xf numFmtId="0" fontId="58" fillId="0" borderId="6" xfId="0" applyFont="1" applyBorder="1" applyAlignment="1">
      <alignment horizontal="center" vertical="center" wrapText="1"/>
    </xf>
    <xf numFmtId="0" fontId="58" fillId="0" borderId="16"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4" xfId="0" applyFont="1" applyBorder="1" applyAlignment="1">
      <alignment horizontal="center" vertical="center" wrapText="1"/>
    </xf>
    <xf numFmtId="0" fontId="58" fillId="0" borderId="43" xfId="0" applyFont="1" applyBorder="1" applyAlignment="1">
      <alignment horizontal="center" vertical="center" wrapText="1"/>
    </xf>
    <xf numFmtId="0" fontId="29" fillId="5" borderId="18" xfId="0" applyFont="1" applyFill="1" applyBorder="1" applyAlignment="1">
      <alignment horizontal="center" vertical="center" wrapText="1"/>
    </xf>
    <xf numFmtId="0" fontId="58" fillId="0" borderId="7" xfId="0" applyFont="1" applyBorder="1" applyAlignment="1">
      <alignment horizontal="center" vertical="center" wrapText="1"/>
    </xf>
    <xf numFmtId="0" fontId="58" fillId="0" borderId="41" xfId="0" applyFont="1" applyBorder="1" applyAlignment="1">
      <alignment horizontal="center" vertical="center" wrapText="1"/>
    </xf>
    <xf numFmtId="0" fontId="58" fillId="0" borderId="5" xfId="0" applyFont="1" applyBorder="1" applyAlignment="1">
      <alignment horizontal="center" vertical="center" wrapText="1"/>
    </xf>
    <xf numFmtId="0" fontId="29" fillId="5" borderId="10" xfId="0" applyFont="1" applyFill="1" applyBorder="1" applyAlignment="1">
      <alignment horizontal="center" vertical="center" wrapText="1"/>
    </xf>
    <xf numFmtId="0" fontId="7" fillId="7" borderId="20" xfId="0" applyFont="1" applyFill="1" applyBorder="1" applyAlignment="1" applyProtection="1">
      <alignment horizontal="center" vertical="center" wrapText="1"/>
      <protection locked="0"/>
    </xf>
    <xf numFmtId="0" fontId="5" fillId="7" borderId="21" xfId="0" applyFont="1" applyFill="1" applyBorder="1" applyAlignment="1" applyProtection="1">
      <alignment vertical="center" wrapText="1"/>
      <protection locked="0"/>
    </xf>
    <xf numFmtId="0" fontId="5" fillId="7" borderId="51" xfId="0" applyFont="1" applyFill="1" applyBorder="1" applyAlignment="1" applyProtection="1">
      <alignment vertical="center" wrapText="1"/>
      <protection locked="0"/>
    </xf>
    <xf numFmtId="0" fontId="7" fillId="7" borderId="52" xfId="0" applyFont="1" applyFill="1" applyBorder="1" applyAlignment="1" applyProtection="1">
      <alignment horizontal="center" vertical="center" wrapText="1"/>
      <protection locked="0"/>
    </xf>
    <xf numFmtId="0" fontId="5" fillId="7" borderId="8" xfId="0" applyFont="1" applyFill="1" applyBorder="1" applyAlignment="1" applyProtection="1">
      <alignment vertical="center" wrapText="1"/>
      <protection locked="0"/>
    </xf>
    <xf numFmtId="0" fontId="7" fillId="5" borderId="10" xfId="0" applyFont="1" applyFill="1" applyBorder="1" applyAlignment="1">
      <alignment horizontal="center" vertical="center" wrapText="1"/>
    </xf>
    <xf numFmtId="0" fontId="5" fillId="0" borderId="6"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43" xfId="0" applyFont="1" applyBorder="1" applyAlignment="1">
      <alignment vertical="center" wrapText="1"/>
    </xf>
    <xf numFmtId="0" fontId="7" fillId="5" borderId="18" xfId="0" applyFont="1" applyFill="1" applyBorder="1" applyAlignment="1">
      <alignment horizontal="center" vertical="center" wrapText="1"/>
    </xf>
    <xf numFmtId="0" fontId="5" fillId="0" borderId="41" xfId="0" applyFont="1" applyBorder="1" applyAlignment="1">
      <alignment vertical="center" wrapText="1"/>
    </xf>
    <xf numFmtId="0" fontId="5" fillId="0" borderId="7" xfId="0" applyFont="1" applyBorder="1" applyAlignment="1">
      <alignment vertical="center" wrapText="1"/>
    </xf>
    <xf numFmtId="0" fontId="5" fillId="0" borderId="5" xfId="0" applyFont="1" applyBorder="1" applyAlignment="1">
      <alignment vertical="center" wrapText="1"/>
    </xf>
    <xf numFmtId="0" fontId="4" fillId="6" borderId="12" xfId="0" applyFont="1" applyFill="1"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4" fillId="7" borderId="11" xfId="0" applyFont="1"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4" fillId="7" borderId="28" xfId="0" applyFont="1" applyFill="1"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4" fillId="6" borderId="29" xfId="0"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7" fillId="7" borderId="44" xfId="0" applyFont="1" applyFill="1" applyBorder="1" applyAlignment="1" applyProtection="1">
      <alignment horizontal="center" vertical="center" wrapText="1"/>
      <protection locked="0"/>
    </xf>
    <xf numFmtId="0" fontId="7" fillId="7" borderId="39" xfId="0" applyFont="1" applyFill="1" applyBorder="1" applyAlignment="1" applyProtection="1">
      <alignment horizontal="center" vertical="center" wrapText="1"/>
      <protection locked="0"/>
    </xf>
    <xf numFmtId="0" fontId="7" fillId="7" borderId="45" xfId="0" applyFont="1" applyFill="1" applyBorder="1" applyAlignment="1" applyProtection="1">
      <alignment horizontal="center" vertical="center" wrapText="1"/>
      <protection locked="0"/>
    </xf>
    <xf numFmtId="0" fontId="5" fillId="5" borderId="38" xfId="0" applyFont="1" applyFill="1" applyBorder="1" applyAlignment="1" applyProtection="1">
      <alignment horizontal="center" vertical="center" wrapText="1"/>
      <protection locked="0"/>
    </xf>
    <xf numFmtId="0" fontId="5" fillId="5" borderId="39" xfId="0" applyFont="1" applyFill="1" applyBorder="1" applyAlignment="1" applyProtection="1">
      <alignment horizontal="center" vertical="center" wrapText="1"/>
      <protection locked="0"/>
    </xf>
    <xf numFmtId="0" fontId="5" fillId="5" borderId="45" xfId="0" applyFont="1" applyFill="1" applyBorder="1" applyAlignment="1" applyProtection="1">
      <alignment horizontal="center" vertical="center" wrapText="1"/>
      <protection locked="0"/>
    </xf>
    <xf numFmtId="0" fontId="5" fillId="0" borderId="38" xfId="0" applyFont="1" applyBorder="1" applyAlignment="1">
      <alignment vertical="center" wrapText="1"/>
    </xf>
    <xf numFmtId="0" fontId="5" fillId="0" borderId="39" xfId="0" applyFont="1" applyBorder="1" applyAlignment="1">
      <alignment vertical="center" wrapText="1"/>
    </xf>
    <xf numFmtId="0" fontId="5" fillId="0" borderId="40" xfId="0" applyFont="1" applyBorder="1" applyAlignment="1">
      <alignment vertical="center" wrapText="1"/>
    </xf>
    <xf numFmtId="0" fontId="4" fillId="6" borderId="22" xfId="0"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4" fillId="7" borderId="24" xfId="0"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49" fontId="80" fillId="9" borderId="3" xfId="0" applyNumberFormat="1" applyFont="1" applyFill="1" applyBorder="1" applyAlignment="1" applyProtection="1">
      <alignment horizontal="center" vertical="center" wrapText="1"/>
      <protection locked="0"/>
    </xf>
    <xf numFmtId="49" fontId="80" fillId="9" borderId="4" xfId="0" applyNumberFormat="1" applyFont="1" applyFill="1" applyBorder="1" applyAlignment="1" applyProtection="1">
      <alignment horizontal="center" vertical="center" wrapText="1"/>
      <protection locked="0"/>
    </xf>
    <xf numFmtId="49" fontId="80" fillId="9" borderId="5" xfId="0" applyNumberFormat="1" applyFont="1" applyFill="1" applyBorder="1" applyAlignment="1" applyProtection="1">
      <alignment horizontal="center" vertical="center" wrapText="1"/>
      <protection locked="0"/>
    </xf>
    <xf numFmtId="0" fontId="7" fillId="10" borderId="10" xfId="0" applyFont="1" applyFill="1" applyBorder="1">
      <alignment vertical="center"/>
    </xf>
    <xf numFmtId="0" fontId="5" fillId="10" borderId="6" xfId="0" applyFont="1" applyFill="1" applyBorder="1">
      <alignment vertical="center"/>
    </xf>
    <xf numFmtId="0" fontId="57" fillId="0" borderId="6" xfId="0" applyFont="1" applyBorder="1">
      <alignment vertical="center"/>
    </xf>
    <xf numFmtId="0" fontId="57" fillId="0" borderId="7" xfId="0" applyFont="1" applyBorder="1">
      <alignment vertical="center"/>
    </xf>
    <xf numFmtId="0" fontId="7" fillId="5" borderId="3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47" xfId="0" applyFont="1" applyFill="1" applyBorder="1" applyAlignment="1">
      <alignment horizontal="center" vertical="center" wrapText="1"/>
    </xf>
    <xf numFmtId="0" fontId="7" fillId="5" borderId="48" xfId="0" applyFont="1" applyFill="1" applyBorder="1" applyAlignment="1">
      <alignment horizontal="center" vertical="center" wrapText="1"/>
    </xf>
    <xf numFmtId="176" fontId="7" fillId="6" borderId="3" xfId="0" applyNumberFormat="1" applyFont="1" applyFill="1" applyBorder="1" applyAlignment="1">
      <alignment horizontal="center" vertical="center" wrapText="1"/>
    </xf>
    <xf numFmtId="0" fontId="57" fillId="0" borderId="4" xfId="0" applyFont="1" applyBorder="1">
      <alignment vertical="center"/>
    </xf>
    <xf numFmtId="0" fontId="57" fillId="0" borderId="5" xfId="0" applyFont="1" applyBorder="1">
      <alignment vertical="center"/>
    </xf>
    <xf numFmtId="0" fontId="7" fillId="5" borderId="31" xfId="0" applyFont="1" applyFill="1" applyBorder="1" applyAlignment="1">
      <alignment horizontal="center" vertical="center" shrinkToFit="1"/>
    </xf>
    <xf numFmtId="0" fontId="7" fillId="5" borderId="32" xfId="0" applyFont="1" applyFill="1" applyBorder="1" applyAlignment="1">
      <alignment horizontal="center" vertical="center" shrinkToFit="1"/>
    </xf>
    <xf numFmtId="0" fontId="57" fillId="0" borderId="32" xfId="0" applyFont="1" applyBorder="1" applyAlignment="1">
      <alignment horizontal="center" vertical="center" shrinkToFit="1"/>
    </xf>
    <xf numFmtId="0" fontId="57" fillId="0" borderId="33" xfId="0" applyFont="1" applyBorder="1" applyAlignment="1">
      <alignment horizontal="center" vertical="center" shrinkToFit="1"/>
    </xf>
    <xf numFmtId="0" fontId="5" fillId="5" borderId="34" xfId="0" applyFont="1" applyFill="1" applyBorder="1">
      <alignment vertical="center"/>
    </xf>
    <xf numFmtId="0" fontId="5" fillId="5" borderId="35" xfId="0" applyFont="1" applyFill="1" applyBorder="1">
      <alignment vertical="center"/>
    </xf>
    <xf numFmtId="0" fontId="5" fillId="5" borderId="36" xfId="0" applyFont="1" applyFill="1" applyBorder="1">
      <alignment vertical="center"/>
    </xf>
    <xf numFmtId="0" fontId="5" fillId="5" borderId="37" xfId="0" applyFont="1" applyFill="1" applyBorder="1">
      <alignment vertical="center"/>
    </xf>
    <xf numFmtId="0" fontId="5" fillId="0" borderId="38" xfId="0" applyFont="1" applyBorder="1">
      <alignment vertical="center"/>
    </xf>
    <xf numFmtId="0" fontId="5" fillId="0" borderId="39" xfId="0" applyFont="1" applyBorder="1">
      <alignment vertical="center"/>
    </xf>
    <xf numFmtId="0" fontId="5" fillId="0" borderId="40" xfId="0" applyFont="1" applyBorder="1">
      <alignment vertical="center"/>
    </xf>
    <xf numFmtId="0" fontId="7" fillId="6" borderId="41"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176" fontId="7" fillId="6" borderId="48" xfId="0" applyNumberFormat="1" applyFont="1" applyFill="1" applyBorder="1" applyAlignment="1">
      <alignment horizontal="center" vertical="center" wrapText="1"/>
    </xf>
    <xf numFmtId="176" fontId="7" fillId="6" borderId="49" xfId="0" applyNumberFormat="1" applyFont="1" applyFill="1" applyBorder="1" applyAlignment="1">
      <alignment horizontal="center" vertical="center" wrapText="1"/>
    </xf>
    <xf numFmtId="0" fontId="5" fillId="5" borderId="6" xfId="0" applyFont="1" applyFill="1" applyBorder="1" applyAlignment="1">
      <alignment vertical="center" wrapText="1"/>
    </xf>
    <xf numFmtId="0" fontId="5" fillId="5" borderId="50" xfId="0" applyFont="1" applyFill="1" applyBorder="1" applyAlignment="1">
      <alignment vertical="center" wrapText="1"/>
    </xf>
    <xf numFmtId="0" fontId="5" fillId="5" borderId="35" xfId="0" applyFont="1" applyFill="1" applyBorder="1" applyAlignment="1">
      <alignment vertical="center" wrapText="1"/>
    </xf>
    <xf numFmtId="0" fontId="57" fillId="0" borderId="35" xfId="0" applyFont="1" applyBorder="1">
      <alignment vertical="center"/>
    </xf>
    <xf numFmtId="0" fontId="57" fillId="0" borderId="37" xfId="0" applyFont="1" applyBorder="1">
      <alignment vertical="center"/>
    </xf>
    <xf numFmtId="0" fontId="7" fillId="7" borderId="44" xfId="0" applyFont="1" applyFill="1" applyBorder="1" applyAlignment="1" applyProtection="1">
      <alignment horizontal="center" vertical="center"/>
      <protection locked="0"/>
    </xf>
    <xf numFmtId="0" fontId="7" fillId="7" borderId="39" xfId="0" applyFont="1" applyFill="1" applyBorder="1" applyAlignment="1" applyProtection="1">
      <alignment horizontal="center" vertical="center"/>
      <protection locked="0"/>
    </xf>
    <xf numFmtId="0" fontId="57" fillId="7" borderId="39" xfId="0" applyFont="1" applyFill="1" applyBorder="1" applyProtection="1">
      <alignment vertical="center"/>
      <protection locked="0"/>
    </xf>
    <xf numFmtId="0" fontId="57" fillId="7" borderId="45" xfId="0" applyFont="1" applyFill="1" applyBorder="1" applyProtection="1">
      <alignment vertical="center"/>
      <protection locked="0"/>
    </xf>
    <xf numFmtId="0" fontId="5" fillId="0" borderId="45" xfId="0" applyFont="1" applyBorder="1">
      <alignment vertical="center"/>
    </xf>
    <xf numFmtId="0" fontId="7" fillId="7" borderId="28" xfId="0" applyFont="1" applyFill="1" applyBorder="1" applyAlignment="1" applyProtection="1">
      <alignment horizontal="center" vertical="center"/>
      <protection locked="0"/>
    </xf>
    <xf numFmtId="0" fontId="57" fillId="0" borderId="29" xfId="0" applyFont="1" applyBorder="1" applyAlignment="1" applyProtection="1">
      <alignment horizontal="center" vertical="center"/>
      <protection locked="0"/>
    </xf>
    <xf numFmtId="0" fontId="7" fillId="7" borderId="29" xfId="0" applyFont="1" applyFill="1" applyBorder="1" applyAlignment="1" applyProtection="1">
      <alignment horizontal="center" vertical="center"/>
      <protection locked="0"/>
    </xf>
    <xf numFmtId="0" fontId="7" fillId="6" borderId="29" xfId="0" applyFont="1" applyFill="1" applyBorder="1" applyAlignment="1">
      <alignment horizontal="center" vertical="center" wrapText="1"/>
    </xf>
    <xf numFmtId="0" fontId="5" fillId="5" borderId="29" xfId="0" applyFont="1" applyFill="1" applyBorder="1" applyAlignment="1" applyProtection="1">
      <alignment vertical="center" wrapText="1"/>
      <protection locked="0"/>
    </xf>
    <xf numFmtId="0" fontId="5" fillId="5" borderId="30" xfId="0" applyFont="1" applyFill="1" applyBorder="1" applyAlignment="1" applyProtection="1">
      <alignment vertical="center" wrapText="1"/>
      <protection locked="0"/>
    </xf>
    <xf numFmtId="0" fontId="5" fillId="0" borderId="29" xfId="0" applyFont="1" applyBorder="1" applyAlignment="1">
      <alignment vertical="center" wrapText="1"/>
    </xf>
    <xf numFmtId="0" fontId="60" fillId="5" borderId="46" xfId="0" applyFont="1" applyFill="1" applyBorder="1" applyAlignment="1">
      <alignment horizontal="center" vertical="center" wrapText="1"/>
    </xf>
    <xf numFmtId="0" fontId="60" fillId="5" borderId="32" xfId="0" applyFont="1" applyFill="1" applyBorder="1" applyAlignment="1">
      <alignment horizontal="center" vertical="center" wrapText="1"/>
    </xf>
    <xf numFmtId="0" fontId="60" fillId="5" borderId="33" xfId="0" applyFont="1" applyFill="1" applyBorder="1" applyAlignment="1">
      <alignment horizontal="center" vertical="center" wrapText="1"/>
    </xf>
    <xf numFmtId="0" fontId="5" fillId="5" borderId="46" xfId="0" applyFont="1" applyFill="1" applyBorder="1" applyAlignment="1">
      <alignment vertical="center" wrapText="1"/>
    </xf>
    <xf numFmtId="0" fontId="5" fillId="5" borderId="32" xfId="0" applyFont="1" applyFill="1" applyBorder="1" applyAlignment="1">
      <alignment vertical="center" wrapText="1"/>
    </xf>
    <xf numFmtId="0" fontId="5" fillId="5" borderId="42" xfId="0" applyFont="1" applyFill="1" applyBorder="1" applyAlignment="1">
      <alignment vertical="center" wrapText="1"/>
    </xf>
    <xf numFmtId="0" fontId="7" fillId="5" borderId="42" xfId="0" applyFont="1" applyFill="1" applyBorder="1" applyAlignment="1">
      <alignment horizontal="center" vertical="center" shrinkToFit="1"/>
    </xf>
    <xf numFmtId="0" fontId="7" fillId="5" borderId="25"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13" xfId="0" applyFont="1" applyFill="1" applyBorder="1" applyAlignment="1">
      <alignment horizontal="center" vertical="center"/>
    </xf>
    <xf numFmtId="0" fontId="5" fillId="5" borderId="13" xfId="0" applyFont="1" applyFill="1" applyBorder="1">
      <alignment vertical="center"/>
    </xf>
    <xf numFmtId="0" fontId="5" fillId="5" borderId="26" xfId="0" applyFont="1" applyFill="1" applyBorder="1">
      <alignment vertical="center"/>
    </xf>
    <xf numFmtId="0" fontId="5" fillId="5" borderId="14" xfId="0" applyFont="1" applyFill="1" applyBorder="1">
      <alignment vertical="center"/>
    </xf>
    <xf numFmtId="0" fontId="5" fillId="5" borderId="27" xfId="0" applyFont="1" applyFill="1" applyBorder="1">
      <alignment vertical="center"/>
    </xf>
    <xf numFmtId="0" fontId="40" fillId="5" borderId="20" xfId="0" applyFont="1" applyFill="1" applyBorder="1" applyAlignment="1">
      <alignment horizontal="center" vertical="center"/>
    </xf>
    <xf numFmtId="0" fontId="37" fillId="5" borderId="21" xfId="0" applyFont="1" applyFill="1" applyBorder="1" applyAlignment="1">
      <alignment horizontal="center" vertical="center"/>
    </xf>
    <xf numFmtId="0" fontId="37" fillId="5" borderId="8"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43" xfId="0" applyFont="1" applyFill="1" applyBorder="1" applyAlignment="1">
      <alignment horizontal="center" vertical="center"/>
    </xf>
    <xf numFmtId="0" fontId="7" fillId="6" borderId="43" xfId="0" applyFont="1" applyFill="1" applyBorder="1" applyAlignment="1">
      <alignment horizontal="center" vertical="center"/>
    </xf>
    <xf numFmtId="0" fontId="29" fillId="5" borderId="10" xfId="0" applyFont="1" applyFill="1" applyBorder="1" applyAlignment="1">
      <alignment horizontal="center" vertical="center" wrapText="1" shrinkToFit="1"/>
    </xf>
    <xf numFmtId="0" fontId="58" fillId="0" borderId="6" xfId="0" applyFont="1" applyBorder="1" applyAlignment="1">
      <alignment horizontal="center" vertical="center" wrapText="1" shrinkToFit="1"/>
    </xf>
    <xf numFmtId="0" fontId="58" fillId="0" borderId="16" xfId="0" applyFont="1" applyBorder="1" applyAlignment="1">
      <alignment horizontal="center" vertical="center" wrapText="1" shrinkToFit="1"/>
    </xf>
    <xf numFmtId="0" fontId="58" fillId="0" borderId="3" xfId="0" applyFont="1" applyBorder="1" applyAlignment="1">
      <alignment horizontal="center" vertical="center" wrapText="1" shrinkToFit="1"/>
    </xf>
    <xf numFmtId="0" fontId="58" fillId="0" borderId="4" xfId="0" applyFont="1" applyBorder="1" applyAlignment="1">
      <alignment horizontal="center" vertical="center" wrapText="1" shrinkToFit="1"/>
    </xf>
    <xf numFmtId="0" fontId="58" fillId="0" borderId="43" xfId="0" applyFont="1" applyBorder="1" applyAlignment="1">
      <alignment horizontal="center" vertical="center" wrapText="1" shrinkToFit="1"/>
    </xf>
    <xf numFmtId="0" fontId="81" fillId="7" borderId="44" xfId="0" applyFont="1" applyFill="1" applyBorder="1" applyAlignment="1" applyProtection="1">
      <alignment horizontal="center" vertical="center"/>
      <protection locked="0"/>
    </xf>
    <xf numFmtId="0" fontId="81" fillId="7" borderId="39" xfId="0" applyFont="1" applyFill="1" applyBorder="1" applyAlignment="1" applyProtection="1">
      <alignment horizontal="center" vertical="center"/>
      <protection locked="0"/>
    </xf>
    <xf numFmtId="0" fontId="81" fillId="7" borderId="45" xfId="0" applyFont="1" applyFill="1" applyBorder="1" applyAlignment="1" applyProtection="1">
      <alignment horizontal="center" vertical="center"/>
      <protection locked="0"/>
    </xf>
    <xf numFmtId="0" fontId="81" fillId="7" borderId="38"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7" fillId="6" borderId="12" xfId="0" applyFont="1" applyFill="1" applyBorder="1" applyAlignment="1">
      <alignment horizontal="center" vertical="center" wrapText="1"/>
    </xf>
    <xf numFmtId="0" fontId="5" fillId="0" borderId="12" xfId="0" applyFont="1" applyBorder="1" applyAlignment="1">
      <alignment vertical="center" wrapText="1"/>
    </xf>
    <xf numFmtId="0" fontId="7" fillId="7" borderId="11" xfId="0" applyFont="1" applyFill="1" applyBorder="1" applyAlignment="1" applyProtection="1">
      <alignment horizontal="center" vertical="center"/>
      <protection locked="0"/>
    </xf>
    <xf numFmtId="0" fontId="57" fillId="0" borderId="12" xfId="0" applyFont="1" applyBorder="1" applyAlignment="1" applyProtection="1">
      <alignment horizontal="center" vertical="center"/>
      <protection locked="0"/>
    </xf>
    <xf numFmtId="0" fontId="5" fillId="0" borderId="13" xfId="0" applyFont="1" applyBorder="1" applyAlignment="1">
      <alignment vertical="center" wrapText="1"/>
    </xf>
    <xf numFmtId="0" fontId="0" fillId="0" borderId="26" xfId="0" applyBorder="1" applyAlignment="1">
      <alignment vertical="center" wrapText="1"/>
    </xf>
    <xf numFmtId="0" fontId="0" fillId="0" borderId="14" xfId="0" applyBorder="1" applyAlignment="1">
      <alignment vertical="center" wrapText="1"/>
    </xf>
    <xf numFmtId="176" fontId="7" fillId="6" borderId="29" xfId="0" applyNumberFormat="1" applyFont="1" applyFill="1" applyBorder="1" applyAlignment="1">
      <alignment horizontal="center" vertical="center" wrapText="1"/>
    </xf>
    <xf numFmtId="176" fontId="7" fillId="6" borderId="30" xfId="0" applyNumberFormat="1" applyFont="1" applyFill="1" applyBorder="1" applyAlignment="1">
      <alignment horizontal="center" vertical="center" wrapText="1"/>
    </xf>
    <xf numFmtId="177" fontId="7" fillId="6" borderId="11" xfId="0" applyNumberFormat="1" applyFont="1" applyFill="1" applyBorder="1" applyAlignment="1">
      <alignment horizontal="center" vertical="center" wrapText="1"/>
    </xf>
    <xf numFmtId="177" fontId="7" fillId="6" borderId="12" xfId="0" applyNumberFormat="1" applyFont="1" applyFill="1" applyBorder="1" applyAlignment="1">
      <alignment horizontal="center" vertical="center" wrapText="1"/>
    </xf>
    <xf numFmtId="0" fontId="7" fillId="0" borderId="12" xfId="0" applyFont="1" applyBorder="1" applyAlignment="1">
      <alignment vertical="center" wrapText="1"/>
    </xf>
    <xf numFmtId="0" fontId="0" fillId="0" borderId="12" xfId="0" applyBorder="1" applyAlignment="1">
      <alignment vertical="center" wrapText="1"/>
    </xf>
    <xf numFmtId="176" fontId="7" fillId="6" borderId="12" xfId="0" applyNumberFormat="1" applyFont="1" applyFill="1" applyBorder="1" applyAlignment="1">
      <alignment horizontal="center" vertical="center" wrapText="1"/>
    </xf>
    <xf numFmtId="176" fontId="7" fillId="6" borderId="15" xfId="0" applyNumberFormat="1" applyFont="1" applyFill="1" applyBorder="1" applyAlignment="1">
      <alignment horizontal="center" vertical="center" wrapText="1"/>
    </xf>
    <xf numFmtId="0" fontId="5" fillId="5" borderId="12" xfId="0" applyFont="1" applyFill="1" applyBorder="1" applyAlignment="1" applyProtection="1">
      <alignment vertical="center" wrapText="1"/>
      <protection locked="0"/>
    </xf>
    <xf numFmtId="0" fontId="5" fillId="5" borderId="15" xfId="0" applyFont="1" applyFill="1" applyBorder="1" applyAlignment="1" applyProtection="1">
      <alignment vertical="center" wrapText="1"/>
      <protection locked="0"/>
    </xf>
    <xf numFmtId="0" fontId="5" fillId="5" borderId="13" xfId="0" applyFont="1" applyFill="1"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27" xfId="0" applyBorder="1" applyAlignment="1" applyProtection="1">
      <alignment vertical="center" wrapText="1"/>
      <protection locked="0"/>
    </xf>
    <xf numFmtId="0" fontId="7" fillId="0" borderId="29" xfId="0" applyFont="1" applyBorder="1" applyAlignment="1">
      <alignment vertical="center" wrapText="1"/>
    </xf>
    <xf numFmtId="177" fontId="7" fillId="6" borderId="28" xfId="0" applyNumberFormat="1" applyFont="1" applyFill="1" applyBorder="1" applyAlignment="1">
      <alignment horizontal="center" vertical="center" wrapText="1"/>
    </xf>
    <xf numFmtId="177" fontId="7" fillId="6" borderId="29" xfId="0" applyNumberFormat="1" applyFont="1" applyFill="1" applyBorder="1" applyAlignment="1">
      <alignment horizontal="center" vertical="center" wrapText="1"/>
    </xf>
    <xf numFmtId="0" fontId="57" fillId="0" borderId="12" xfId="0" applyFont="1" applyBorder="1" applyAlignment="1">
      <alignment vertical="center" wrapText="1"/>
    </xf>
    <xf numFmtId="0" fontId="57" fillId="0" borderId="26" xfId="0" applyFont="1" applyBorder="1" applyAlignment="1">
      <alignment vertical="center" wrapText="1"/>
    </xf>
    <xf numFmtId="0" fontId="57" fillId="0" borderId="14" xfId="0" applyFont="1" applyBorder="1" applyAlignment="1">
      <alignment vertical="center" wrapText="1"/>
    </xf>
    <xf numFmtId="0" fontId="57" fillId="0" borderId="26" xfId="0" applyFont="1" applyBorder="1" applyAlignment="1" applyProtection="1">
      <alignment vertical="center" wrapText="1"/>
      <protection locked="0"/>
    </xf>
    <xf numFmtId="0" fontId="57" fillId="0" borderId="27" xfId="0" applyFont="1" applyBorder="1" applyAlignment="1" applyProtection="1">
      <alignment vertical="center" wrapText="1"/>
      <protection locked="0"/>
    </xf>
    <xf numFmtId="49" fontId="28" fillId="5" borderId="20" xfId="0" applyNumberFormat="1" applyFont="1" applyFill="1" applyBorder="1" applyAlignment="1">
      <alignment horizontal="center" vertical="center" wrapText="1" shrinkToFit="1"/>
    </xf>
    <xf numFmtId="49" fontId="44" fillId="5" borderId="21" xfId="0" applyNumberFormat="1" applyFont="1" applyFill="1" applyBorder="1" applyAlignment="1">
      <alignment horizontal="center" vertical="center" shrinkToFit="1"/>
    </xf>
    <xf numFmtId="49" fontId="44" fillId="5" borderId="8" xfId="0" applyNumberFormat="1" applyFont="1" applyFill="1" applyBorder="1" applyAlignment="1">
      <alignment horizontal="center" vertical="center" shrinkToFit="1"/>
    </xf>
    <xf numFmtId="177" fontId="4" fillId="7" borderId="20" xfId="0" applyNumberFormat="1" applyFont="1" applyFill="1" applyBorder="1" applyAlignment="1" applyProtection="1">
      <alignment horizontal="center" vertical="center"/>
      <protection locked="0"/>
    </xf>
    <xf numFmtId="177" fontId="44" fillId="7" borderId="8" xfId="0" applyNumberFormat="1" applyFont="1" applyFill="1" applyBorder="1" applyAlignment="1" applyProtection="1">
      <alignment horizontal="center" vertical="center"/>
      <protection locked="0"/>
    </xf>
    <xf numFmtId="176" fontId="7" fillId="6" borderId="22" xfId="0" applyNumberFormat="1" applyFont="1" applyFill="1" applyBorder="1" applyAlignment="1">
      <alignment horizontal="center" vertical="center" wrapText="1"/>
    </xf>
    <xf numFmtId="176" fontId="7" fillId="6" borderId="23" xfId="0" applyNumberFormat="1" applyFont="1" applyFill="1" applyBorder="1" applyAlignment="1">
      <alignment horizontal="center" vertical="center" wrapText="1"/>
    </xf>
    <xf numFmtId="0" fontId="7" fillId="7" borderId="24" xfId="0" applyFont="1" applyFill="1" applyBorder="1" applyAlignment="1" applyProtection="1">
      <alignment horizontal="center" vertical="center"/>
      <protection locked="0"/>
    </xf>
    <xf numFmtId="0" fontId="7" fillId="7" borderId="22" xfId="0" applyFont="1" applyFill="1" applyBorder="1" applyAlignment="1" applyProtection="1">
      <alignment horizontal="center" vertical="center"/>
      <protection locked="0"/>
    </xf>
    <xf numFmtId="0" fontId="7" fillId="6" borderId="22" xfId="0" applyFont="1" applyFill="1" applyBorder="1" applyAlignment="1">
      <alignment horizontal="center" vertical="center" wrapText="1"/>
    </xf>
    <xf numFmtId="0" fontId="5" fillId="0" borderId="22" xfId="0" applyFont="1" applyBorder="1" applyAlignment="1">
      <alignment vertical="center" wrapText="1"/>
    </xf>
    <xf numFmtId="0" fontId="5" fillId="5" borderId="22" xfId="0" applyFont="1" applyFill="1" applyBorder="1" applyAlignment="1" applyProtection="1">
      <alignment vertical="center" wrapText="1"/>
      <protection locked="0"/>
    </xf>
    <xf numFmtId="0" fontId="5" fillId="5" borderId="23" xfId="0" applyFont="1" applyFill="1" applyBorder="1" applyAlignment="1" applyProtection="1">
      <alignment vertical="center" wrapText="1"/>
      <protection locked="0"/>
    </xf>
    <xf numFmtId="0" fontId="5" fillId="5" borderId="18" xfId="0" applyFont="1" applyFill="1" applyBorder="1" applyAlignment="1">
      <alignment vertical="center" wrapText="1"/>
    </xf>
    <xf numFmtId="0" fontId="5" fillId="5" borderId="16" xfId="0" applyFont="1" applyFill="1" applyBorder="1" applyAlignment="1">
      <alignment vertical="center" wrapText="1"/>
    </xf>
    <xf numFmtId="0" fontId="5" fillId="5" borderId="19" xfId="0" applyFont="1" applyFill="1" applyBorder="1" applyAlignment="1">
      <alignment vertical="center" wrapText="1"/>
    </xf>
    <xf numFmtId="0" fontId="5" fillId="5" borderId="0" xfId="0" applyFont="1" applyFill="1" applyAlignment="1">
      <alignment vertical="center" wrapText="1"/>
    </xf>
    <xf numFmtId="0" fontId="5" fillId="5" borderId="17" xfId="0" applyFont="1" applyFill="1" applyBorder="1" applyAlignment="1">
      <alignment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 xfId="0" applyFont="1" applyFill="1" applyBorder="1" applyAlignment="1">
      <alignment horizontal="center" vertical="center" wrapText="1"/>
    </xf>
    <xf numFmtId="49" fontId="15" fillId="8" borderId="0" xfId="0" applyNumberFormat="1" applyFont="1" applyFill="1" applyAlignment="1">
      <alignment horizontal="center" vertical="center" shrinkToFit="1"/>
    </xf>
    <xf numFmtId="49" fontId="79" fillId="8" borderId="0" xfId="0" applyNumberFormat="1" applyFont="1" applyFill="1" applyAlignment="1">
      <alignment horizontal="center" vertical="center" shrinkToFit="1"/>
    </xf>
    <xf numFmtId="49" fontId="86" fillId="5" borderId="20" xfId="0" applyNumberFormat="1" applyFont="1" applyFill="1" applyBorder="1" applyAlignment="1">
      <alignment horizontal="center" vertical="center" wrapText="1"/>
    </xf>
    <xf numFmtId="49" fontId="44" fillId="0" borderId="21" xfId="0" applyNumberFormat="1" applyFont="1" applyBorder="1" applyAlignment="1">
      <alignment horizontal="center" vertical="center"/>
    </xf>
    <xf numFmtId="49" fontId="44" fillId="0" borderId="8" xfId="0" applyNumberFormat="1" applyFont="1" applyBorder="1" applyAlignment="1">
      <alignment horizontal="center" vertical="center"/>
    </xf>
    <xf numFmtId="0" fontId="7" fillId="0" borderId="22" xfId="0" applyFont="1" applyBorder="1" applyAlignment="1">
      <alignment vertical="center" wrapText="1"/>
    </xf>
    <xf numFmtId="49" fontId="4" fillId="5" borderId="20"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shrinkToFit="1"/>
    </xf>
    <xf numFmtId="0" fontId="4" fillId="5" borderId="21" xfId="0" applyFont="1" applyFill="1" applyBorder="1" applyAlignment="1">
      <alignment horizontal="center" vertical="center" shrinkToFit="1"/>
    </xf>
    <xf numFmtId="0" fontId="4" fillId="5" borderId="8" xfId="0" applyFont="1" applyFill="1" applyBorder="1" applyAlignment="1">
      <alignment horizontal="center" vertical="center" shrinkToFit="1"/>
    </xf>
    <xf numFmtId="0" fontId="4" fillId="7" borderId="8" xfId="0" applyFont="1" applyFill="1" applyBorder="1" applyAlignment="1" applyProtection="1">
      <alignment horizontal="center" vertical="center" wrapText="1"/>
      <protection locked="0"/>
    </xf>
    <xf numFmtId="0" fontId="7" fillId="5" borderId="16"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17" xfId="0" applyFont="1" applyFill="1" applyBorder="1" applyAlignment="1">
      <alignment horizontal="center" vertical="center" wrapText="1"/>
    </xf>
    <xf numFmtId="177" fontId="7" fillId="6" borderId="24" xfId="0" applyNumberFormat="1" applyFont="1" applyFill="1" applyBorder="1" applyAlignment="1">
      <alignment horizontal="center" vertical="center" wrapText="1"/>
    </xf>
    <xf numFmtId="177" fontId="7" fillId="6" borderId="22" xfId="0" applyNumberFormat="1" applyFont="1" applyFill="1" applyBorder="1" applyAlignment="1">
      <alignment horizontal="center" vertical="center" wrapText="1"/>
    </xf>
    <xf numFmtId="0" fontId="7" fillId="5" borderId="18" xfId="0" applyFont="1" applyFill="1" applyBorder="1" applyAlignment="1">
      <alignment vertical="center" wrapText="1"/>
    </xf>
    <xf numFmtId="0" fontId="7" fillId="5" borderId="6" xfId="0" applyFont="1" applyFill="1" applyBorder="1" applyAlignment="1">
      <alignment vertical="center" wrapText="1"/>
    </xf>
    <xf numFmtId="0" fontId="7" fillId="5" borderId="16" xfId="0" applyFont="1" applyFill="1" applyBorder="1" applyAlignment="1">
      <alignment vertical="center" wrapText="1"/>
    </xf>
    <xf numFmtId="0" fontId="7" fillId="5" borderId="19" xfId="0" applyFont="1" applyFill="1" applyBorder="1" applyAlignment="1">
      <alignment vertical="center" wrapText="1"/>
    </xf>
    <xf numFmtId="0" fontId="7" fillId="5" borderId="0" xfId="0" applyFont="1" applyFill="1" applyAlignment="1">
      <alignment vertical="center" wrapText="1"/>
    </xf>
    <xf numFmtId="0" fontId="7" fillId="5" borderId="17" xfId="0" applyFont="1" applyFill="1" applyBorder="1" applyAlignment="1">
      <alignment vertical="center" wrapText="1"/>
    </xf>
    <xf numFmtId="0" fontId="4" fillId="11" borderId="10" xfId="0" applyFont="1" applyFill="1" applyBorder="1" applyAlignment="1">
      <alignment horizontal="center" vertical="center" wrapText="1"/>
    </xf>
    <xf numFmtId="0" fontId="5" fillId="11" borderId="2" xfId="0" applyFont="1" applyFill="1" applyBorder="1" applyAlignment="1">
      <alignment horizontal="left" vertical="center" wrapText="1"/>
    </xf>
    <xf numFmtId="0" fontId="57" fillId="0" borderId="0" xfId="0" applyFont="1" applyAlignment="1">
      <alignment horizontal="left" vertical="center" wrapText="1"/>
    </xf>
    <xf numFmtId="0" fontId="57" fillId="0" borderId="1" xfId="0" applyFont="1" applyBorder="1" applyAlignment="1">
      <alignment horizontal="left" vertical="center" wrapText="1"/>
    </xf>
    <xf numFmtId="0" fontId="57" fillId="0" borderId="2" xfId="0" applyFont="1" applyBorder="1" applyAlignment="1">
      <alignment horizontal="left" vertical="center" wrapText="1"/>
    </xf>
    <xf numFmtId="176" fontId="4" fillId="6" borderId="20" xfId="0" applyNumberFormat="1" applyFont="1" applyFill="1" applyBorder="1" applyAlignment="1">
      <alignment horizontal="center" vertical="center"/>
    </xf>
    <xf numFmtId="176" fontId="44" fillId="6" borderId="21" xfId="0" applyNumberFormat="1" applyFont="1" applyFill="1" applyBorder="1" applyAlignment="1">
      <alignment horizontal="center" vertical="center"/>
    </xf>
    <xf numFmtId="176" fontId="44" fillId="6" borderId="8" xfId="0" applyNumberFormat="1" applyFont="1" applyFill="1" applyBorder="1" applyAlignment="1">
      <alignment horizontal="center" vertical="center"/>
    </xf>
    <xf numFmtId="0" fontId="4" fillId="7" borderId="38" xfId="0" applyFont="1" applyFill="1" applyBorder="1" applyAlignment="1" applyProtection="1">
      <alignment horizontal="center" vertical="center"/>
      <protection locked="0"/>
    </xf>
    <xf numFmtId="0" fontId="4" fillId="7" borderId="39" xfId="0" applyFont="1" applyFill="1" applyBorder="1" applyAlignment="1" applyProtection="1">
      <alignment horizontal="center" vertical="center"/>
      <protection locked="0"/>
    </xf>
    <xf numFmtId="0" fontId="4" fillId="7" borderId="40" xfId="0" applyFont="1" applyFill="1" applyBorder="1" applyAlignment="1" applyProtection="1">
      <alignment horizontal="center" vertical="center"/>
      <protection locked="0"/>
    </xf>
    <xf numFmtId="0" fontId="81" fillId="9" borderId="21" xfId="0" applyFont="1" applyFill="1" applyBorder="1" applyAlignment="1" applyProtection="1">
      <alignment vertical="center" shrinkToFit="1"/>
      <protection locked="0"/>
    </xf>
    <xf numFmtId="0" fontId="81" fillId="9" borderId="8" xfId="0" applyFont="1" applyFill="1" applyBorder="1" applyAlignment="1" applyProtection="1">
      <alignment vertical="center" shrinkToFit="1"/>
      <protection locked="0"/>
    </xf>
    <xf numFmtId="0" fontId="4" fillId="7" borderId="45" xfId="0" applyFont="1" applyFill="1" applyBorder="1" applyAlignment="1" applyProtection="1">
      <alignment horizontal="center" vertical="center"/>
      <protection locked="0"/>
    </xf>
    <xf numFmtId="176" fontId="4" fillId="6" borderId="38" xfId="0" applyNumberFormat="1" applyFont="1" applyFill="1" applyBorder="1" applyAlignment="1">
      <alignment horizontal="center" vertical="center"/>
    </xf>
    <xf numFmtId="176" fontId="4" fillId="6" borderId="39" xfId="0" applyNumberFormat="1" applyFont="1" applyFill="1" applyBorder="1" applyAlignment="1">
      <alignment horizontal="center" vertical="center"/>
    </xf>
    <xf numFmtId="176" fontId="4" fillId="6" borderId="40" xfId="0" applyNumberFormat="1" applyFont="1" applyFill="1" applyBorder="1" applyAlignment="1">
      <alignment horizontal="center" vertical="center"/>
    </xf>
    <xf numFmtId="0" fontId="57" fillId="0" borderId="6"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0" xfId="0" applyFont="1" applyAlignment="1">
      <alignment horizontal="center" vertical="center" wrapText="1"/>
    </xf>
    <xf numFmtId="0" fontId="57" fillId="0" borderId="17" xfId="0" applyFont="1" applyBorder="1" applyAlignment="1">
      <alignment horizontal="center" vertical="center" wrapText="1"/>
    </xf>
    <xf numFmtId="0" fontId="57" fillId="0" borderId="7"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3" xfId="0" applyFont="1" applyBorder="1">
      <alignment vertical="center"/>
    </xf>
    <xf numFmtId="176" fontId="4" fillId="6" borderId="20" xfId="0" applyNumberFormat="1" applyFont="1" applyFill="1" applyBorder="1" applyAlignment="1">
      <alignment horizontal="center" vertical="center" wrapText="1"/>
    </xf>
    <xf numFmtId="0" fontId="0" fillId="6" borderId="21" xfId="0" applyFill="1" applyBorder="1">
      <alignment vertical="center"/>
    </xf>
    <xf numFmtId="0" fontId="0" fillId="6" borderId="8" xfId="0" applyFill="1" applyBorder="1">
      <alignment vertical="center"/>
    </xf>
    <xf numFmtId="0" fontId="7" fillId="5" borderId="5" xfId="0" applyFont="1" applyFill="1" applyBorder="1" applyAlignment="1">
      <alignment horizontal="center" vertical="center"/>
    </xf>
    <xf numFmtId="0" fontId="7" fillId="5" borderId="50" xfId="0" applyFont="1" applyFill="1" applyBorder="1" applyAlignment="1">
      <alignment horizontal="center" vertical="center"/>
    </xf>
    <xf numFmtId="0" fontId="7" fillId="5" borderId="35" xfId="0" applyFont="1" applyFill="1" applyBorder="1" applyAlignment="1">
      <alignment horizontal="center" vertical="center"/>
    </xf>
    <xf numFmtId="0" fontId="7" fillId="5" borderId="36" xfId="0" applyFont="1" applyFill="1" applyBorder="1" applyAlignment="1">
      <alignment horizontal="center" vertical="center"/>
    </xf>
    <xf numFmtId="0" fontId="4" fillId="7" borderId="44" xfId="0" applyFont="1" applyFill="1" applyBorder="1" applyAlignment="1" applyProtection="1">
      <alignment horizontal="right" vertical="center"/>
      <protection locked="0"/>
    </xf>
    <xf numFmtId="0" fontId="0" fillId="0" borderId="39" xfId="0" applyBorder="1" applyAlignment="1" applyProtection="1">
      <alignment horizontal="right" vertical="center"/>
      <protection locked="0"/>
    </xf>
    <xf numFmtId="0" fontId="4" fillId="7" borderId="39" xfId="0" applyFont="1" applyFill="1" applyBorder="1" applyAlignment="1">
      <alignment horizontal="center" vertical="center"/>
    </xf>
    <xf numFmtId="0" fontId="0" fillId="0" borderId="39" xfId="0" applyBorder="1" applyAlignment="1">
      <alignment horizontal="center" vertical="center"/>
    </xf>
    <xf numFmtId="0" fontId="0" fillId="0" borderId="45" xfId="0" applyBorder="1" applyAlignment="1">
      <alignment horizontal="center" vertical="center"/>
    </xf>
    <xf numFmtId="0" fontId="7" fillId="5" borderId="34" xfId="0" applyFont="1" applyFill="1" applyBorder="1" applyAlignment="1">
      <alignment horizontal="center" vertical="center"/>
    </xf>
    <xf numFmtId="0" fontId="7" fillId="5" borderId="34" xfId="0" applyFont="1" applyFill="1" applyBorder="1">
      <alignment vertical="center"/>
    </xf>
    <xf numFmtId="0" fontId="7" fillId="5" borderId="35" xfId="0" applyFont="1" applyFill="1" applyBorder="1">
      <alignment vertical="center"/>
    </xf>
    <xf numFmtId="0" fontId="7" fillId="5" borderId="37" xfId="0" applyFont="1" applyFill="1" applyBorder="1">
      <alignment vertical="center"/>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43" xfId="0" applyFont="1" applyBorder="1" applyAlignment="1">
      <alignment horizontal="center" vertical="center" wrapText="1"/>
    </xf>
    <xf numFmtId="0" fontId="4" fillId="6" borderId="29"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4" fillId="6" borderId="12"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4" fillId="7" borderId="29" xfId="0" applyFont="1" applyFill="1" applyBorder="1" applyAlignment="1" applyProtection="1">
      <alignment horizontal="center" vertical="center"/>
      <protection locked="0"/>
    </xf>
    <xf numFmtId="0" fontId="44" fillId="7" borderId="29" xfId="0" applyFont="1" applyFill="1" applyBorder="1" applyAlignment="1" applyProtection="1">
      <alignment horizontal="center" vertical="center"/>
      <protection locked="0"/>
    </xf>
    <xf numFmtId="0" fontId="8" fillId="5" borderId="22" xfId="0" applyFont="1" applyFill="1" applyBorder="1" applyAlignment="1">
      <alignment horizontal="center" vertical="center"/>
    </xf>
    <xf numFmtId="0" fontId="44" fillId="5" borderId="22" xfId="0" applyFont="1" applyFill="1" applyBorder="1" applyAlignment="1">
      <alignment horizontal="center" vertical="center"/>
    </xf>
    <xf numFmtId="0" fontId="44" fillId="5" borderId="23"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2" xfId="0" applyFont="1" applyFill="1" applyBorder="1" applyAlignment="1">
      <alignment horizontal="center" vertical="center"/>
    </xf>
    <xf numFmtId="0" fontId="7" fillId="5" borderId="42" xfId="0" applyFont="1" applyFill="1" applyBorder="1" applyAlignment="1">
      <alignment horizontal="center" vertical="center"/>
    </xf>
    <xf numFmtId="0" fontId="4" fillId="5" borderId="22" xfId="0" applyFont="1" applyFill="1" applyBorder="1" applyAlignment="1">
      <alignment horizontal="center" vertical="center"/>
    </xf>
    <xf numFmtId="0" fontId="44" fillId="5" borderId="22" xfId="0" applyFont="1" applyFill="1" applyBorder="1">
      <alignment vertical="center"/>
    </xf>
    <xf numFmtId="0" fontId="57" fillId="0" borderId="41" xfId="0" applyFont="1" applyBorder="1" applyAlignment="1">
      <alignment horizontal="center" vertical="center" wrapText="1"/>
    </xf>
    <xf numFmtId="0" fontId="57" fillId="0" borderId="5" xfId="0" applyFont="1" applyBorder="1" applyAlignment="1">
      <alignment horizontal="center" vertical="center" wrapText="1"/>
    </xf>
    <xf numFmtId="0" fontId="81" fillId="5" borderId="10" xfId="0" applyFont="1" applyFill="1" applyBorder="1" applyAlignment="1">
      <alignment horizontal="center" vertical="center" wrapText="1"/>
    </xf>
    <xf numFmtId="0" fontId="7" fillId="5" borderId="10" xfId="0" applyFont="1" applyFill="1" applyBorder="1" applyAlignment="1">
      <alignment horizontal="center" vertical="center" wrapText="1" shrinkToFit="1"/>
    </xf>
    <xf numFmtId="0" fontId="57" fillId="0" borderId="6" xfId="0" applyFont="1" applyBorder="1" applyAlignment="1">
      <alignment horizontal="center" vertical="center" wrapText="1" shrinkToFit="1"/>
    </xf>
    <xf numFmtId="0" fontId="57" fillId="0" borderId="16" xfId="0" applyFont="1" applyBorder="1" applyAlignment="1">
      <alignment horizontal="center" vertical="center" wrapText="1" shrinkToFit="1"/>
    </xf>
    <xf numFmtId="0" fontId="57" fillId="0" borderId="2" xfId="0" applyFont="1" applyBorder="1" applyAlignment="1">
      <alignment horizontal="center" vertical="center" wrapText="1" shrinkToFit="1"/>
    </xf>
    <xf numFmtId="0" fontId="57" fillId="0" borderId="0" xfId="0" applyFont="1" applyAlignment="1">
      <alignment horizontal="center" vertical="center" wrapText="1" shrinkToFit="1"/>
    </xf>
    <xf numFmtId="0" fontId="57" fillId="0" borderId="17" xfId="0" applyFont="1" applyBorder="1" applyAlignment="1">
      <alignment horizontal="center" vertical="center" wrapText="1" shrinkToFit="1"/>
    </xf>
    <xf numFmtId="0" fontId="4" fillId="2" borderId="29" xfId="0" applyFont="1" applyFill="1" applyBorder="1" applyAlignment="1">
      <alignment horizontal="center" vertical="center"/>
    </xf>
    <xf numFmtId="0" fontId="44" fillId="2" borderId="29" xfId="0" applyFont="1" applyFill="1" applyBorder="1" applyAlignment="1">
      <alignment horizontal="center" vertical="center"/>
    </xf>
    <xf numFmtId="0" fontId="44" fillId="2" borderId="30" xfId="0" applyFont="1" applyFill="1" applyBorder="1" applyAlignment="1">
      <alignment horizontal="center" vertical="center"/>
    </xf>
    <xf numFmtId="0" fontId="4" fillId="6" borderId="22"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7" fillId="5" borderId="13" xfId="0" applyFont="1" applyFill="1" applyBorder="1" applyAlignment="1">
      <alignment horizontal="center" vertical="center" shrinkToFit="1"/>
    </xf>
    <xf numFmtId="0" fontId="7" fillId="5" borderId="26" xfId="0" applyFont="1" applyFill="1" applyBorder="1" applyAlignment="1">
      <alignment horizontal="center" vertical="center" shrinkToFit="1"/>
    </xf>
    <xf numFmtId="0" fontId="7" fillId="5" borderId="27" xfId="0" applyFont="1" applyFill="1" applyBorder="1" applyAlignment="1">
      <alignment horizontal="center" vertical="center" shrinkToFit="1"/>
    </xf>
    <xf numFmtId="0" fontId="2" fillId="7" borderId="21" xfId="0" applyFont="1" applyFill="1" applyBorder="1" applyAlignment="1" applyProtection="1">
      <alignment vertical="center" wrapText="1"/>
      <protection locked="0"/>
    </xf>
    <xf numFmtId="0" fontId="2" fillId="7" borderId="51" xfId="0" applyFont="1" applyFill="1" applyBorder="1" applyAlignment="1" applyProtection="1">
      <alignment vertical="center" wrapText="1"/>
      <protection locked="0"/>
    </xf>
    <xf numFmtId="0" fontId="4" fillId="7" borderId="52" xfId="0" applyFont="1" applyFill="1" applyBorder="1" applyAlignment="1" applyProtection="1">
      <alignment horizontal="center" vertical="center" wrapText="1"/>
      <protection locked="0"/>
    </xf>
    <xf numFmtId="0" fontId="2" fillId="7" borderId="8" xfId="0" applyFont="1" applyFill="1" applyBorder="1" applyAlignment="1" applyProtection="1">
      <alignment vertical="center" wrapText="1"/>
      <protection locked="0"/>
    </xf>
    <xf numFmtId="0" fontId="4" fillId="7" borderId="44" xfId="0" applyFont="1" applyFill="1" applyBorder="1" applyAlignment="1" applyProtection="1">
      <alignment horizontal="center" vertical="center"/>
      <protection locked="0"/>
    </xf>
    <xf numFmtId="0" fontId="2" fillId="5" borderId="28" xfId="0" applyFont="1" applyFill="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2" fillId="5" borderId="29" xfId="0" applyFont="1" applyFill="1" applyBorder="1" applyAlignment="1" applyProtection="1">
      <alignment horizontal="center" vertical="center"/>
      <protection locked="0"/>
    </xf>
    <xf numFmtId="49" fontId="81" fillId="9" borderId="2" xfId="0" applyNumberFormat="1" applyFont="1" applyFill="1" applyBorder="1" applyAlignment="1" applyProtection="1">
      <alignment horizontal="center" vertical="center" shrinkToFit="1"/>
      <protection locked="0"/>
    </xf>
    <xf numFmtId="49" fontId="81" fillId="9" borderId="0" xfId="0" applyNumberFormat="1" applyFont="1" applyFill="1" applyAlignment="1" applyProtection="1">
      <alignment horizontal="center" vertical="center" shrinkToFit="1"/>
      <protection locked="0"/>
    </xf>
    <xf numFmtId="49" fontId="81" fillId="9" borderId="1" xfId="0" applyNumberFormat="1" applyFont="1" applyFill="1" applyBorder="1" applyAlignment="1" applyProtection="1">
      <alignment horizontal="center" vertical="center" shrinkToFit="1"/>
      <protection locked="0"/>
    </xf>
    <xf numFmtId="0" fontId="7" fillId="5" borderId="10" xfId="0" applyFont="1" applyFill="1" applyBorder="1" applyAlignment="1">
      <alignment vertical="center" wrapText="1"/>
    </xf>
    <xf numFmtId="0" fontId="57" fillId="0" borderId="6" xfId="0" applyFont="1" applyBorder="1" applyAlignment="1">
      <alignment vertical="center" wrapText="1"/>
    </xf>
    <xf numFmtId="0" fontId="57" fillId="0" borderId="7" xfId="0" applyFont="1" applyBorder="1" applyAlignment="1">
      <alignment vertical="center" wrapText="1"/>
    </xf>
    <xf numFmtId="0" fontId="2" fillId="5" borderId="24" xfId="0" applyFont="1" applyFill="1" applyBorder="1" applyAlignment="1">
      <alignment horizontal="center" vertical="center"/>
    </xf>
    <xf numFmtId="0" fontId="0" fillId="5" borderId="22" xfId="0" applyFill="1" applyBorder="1" applyAlignment="1">
      <alignment horizontal="center" vertical="center"/>
    </xf>
    <xf numFmtId="0" fontId="2" fillId="5" borderId="22" xfId="0" applyFont="1" applyFill="1" applyBorder="1" applyAlignment="1">
      <alignment horizontal="center" vertical="center"/>
    </xf>
    <xf numFmtId="49" fontId="86" fillId="5" borderId="10" xfId="0" applyNumberFormat="1" applyFont="1" applyFill="1" applyBorder="1" applyAlignment="1">
      <alignment horizontal="center" vertical="center" wrapText="1"/>
    </xf>
    <xf numFmtId="49" fontId="44" fillId="0" borderId="6" xfId="0" applyNumberFormat="1" applyFont="1" applyBorder="1" applyAlignment="1">
      <alignment horizontal="center" vertical="center"/>
    </xf>
    <xf numFmtId="49" fontId="43" fillId="8" borderId="0" xfId="0" applyNumberFormat="1" applyFont="1" applyFill="1" applyAlignment="1">
      <alignment horizontal="center" vertical="center" shrinkToFit="1"/>
    </xf>
    <xf numFmtId="0" fontId="7" fillId="5" borderId="24" xfId="0" applyFont="1" applyFill="1" applyBorder="1" applyAlignment="1">
      <alignment horizontal="center" vertical="center" wrapText="1"/>
    </xf>
    <xf numFmtId="0" fontId="62" fillId="5" borderId="24" xfId="0" applyFont="1" applyFill="1" applyBorder="1" applyAlignment="1">
      <alignment horizontal="center" vertical="center" wrapText="1"/>
    </xf>
    <xf numFmtId="0" fontId="62" fillId="5" borderId="22" xfId="0" applyFont="1" applyFill="1" applyBorder="1" applyAlignment="1">
      <alignment horizontal="center" vertical="center" wrapText="1"/>
    </xf>
    <xf numFmtId="0" fontId="62" fillId="5" borderId="23"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176" fontId="4" fillId="6" borderId="3" xfId="0" applyNumberFormat="1" applyFont="1" applyFill="1" applyBorder="1" applyAlignment="1">
      <alignment horizontal="center" vertical="center" wrapText="1"/>
    </xf>
    <xf numFmtId="176" fontId="4" fillId="6" borderId="4" xfId="0" applyNumberFormat="1" applyFont="1" applyFill="1" applyBorder="1" applyAlignment="1">
      <alignment horizontal="center" vertical="center" wrapText="1"/>
    </xf>
    <xf numFmtId="176" fontId="4" fillId="6" borderId="5" xfId="0" applyNumberFormat="1" applyFont="1" applyFill="1" applyBorder="1" applyAlignment="1">
      <alignment horizontal="center" vertical="center" wrapText="1"/>
    </xf>
    <xf numFmtId="0" fontId="4" fillId="5" borderId="47"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62" fillId="6" borderId="56" xfId="0" applyFont="1" applyFill="1" applyBorder="1" applyAlignment="1">
      <alignment horizontal="center" vertical="center" wrapText="1"/>
    </xf>
    <xf numFmtId="0" fontId="62" fillId="6" borderId="57" xfId="0" applyFont="1" applyFill="1" applyBorder="1" applyAlignment="1">
      <alignment horizontal="center" vertical="center" wrapText="1"/>
    </xf>
    <xf numFmtId="0" fontId="81" fillId="5" borderId="14" xfId="0" applyFont="1" applyFill="1" applyBorder="1" applyAlignment="1" applyProtection="1">
      <alignment horizontal="center" vertical="center" wrapText="1"/>
      <protection locked="0"/>
    </xf>
    <xf numFmtId="0" fontId="62" fillId="0" borderId="12" xfId="0" applyFont="1" applyBorder="1" applyAlignment="1" applyProtection="1">
      <alignment horizontal="center" vertical="center" wrapText="1"/>
      <protection locked="0"/>
    </xf>
    <xf numFmtId="0" fontId="62" fillId="0" borderId="15" xfId="0" applyFont="1" applyBorder="1" applyAlignment="1" applyProtection="1">
      <alignment horizontal="center" vertical="center" wrapText="1"/>
      <protection locked="0"/>
    </xf>
    <xf numFmtId="178" fontId="62" fillId="6" borderId="11" xfId="0" applyNumberFormat="1" applyFont="1" applyFill="1" applyBorder="1" applyAlignment="1">
      <alignment horizontal="center" vertical="center" wrapText="1"/>
    </xf>
    <xf numFmtId="0" fontId="62" fillId="0" borderId="12" xfId="0" applyFont="1" applyBorder="1" applyAlignment="1">
      <alignment horizontal="center" vertical="center" wrapText="1"/>
    </xf>
    <xf numFmtId="0" fontId="81" fillId="5" borderId="45" xfId="0" applyFont="1" applyFill="1" applyBorder="1" applyAlignment="1" applyProtection="1">
      <alignment horizontal="center" vertical="center" wrapText="1"/>
      <protection locked="0"/>
    </xf>
    <xf numFmtId="0" fontId="62" fillId="0" borderId="29" xfId="0" applyFont="1" applyBorder="1" applyAlignment="1" applyProtection="1">
      <alignment horizontal="center" vertical="center" wrapText="1"/>
      <protection locked="0"/>
    </xf>
    <xf numFmtId="0" fontId="62" fillId="0" borderId="30" xfId="0" applyFont="1" applyBorder="1" applyAlignment="1" applyProtection="1">
      <alignment horizontal="center" vertical="center" wrapText="1"/>
      <protection locked="0"/>
    </xf>
    <xf numFmtId="0" fontId="62" fillId="6" borderId="83" xfId="0" applyFont="1" applyFill="1" applyBorder="1" applyAlignment="1">
      <alignment horizontal="center" vertical="center" wrapText="1"/>
    </xf>
    <xf numFmtId="0" fontId="62" fillId="6" borderId="84" xfId="0" applyFont="1" applyFill="1" applyBorder="1" applyAlignment="1">
      <alignment horizontal="center" vertical="center" wrapText="1"/>
    </xf>
    <xf numFmtId="176" fontId="62" fillId="6" borderId="12" xfId="0" applyNumberFormat="1" applyFont="1" applyFill="1" applyBorder="1" applyAlignment="1">
      <alignment horizontal="center" vertical="center" wrapText="1"/>
    </xf>
    <xf numFmtId="0" fontId="62" fillId="0" borderId="15" xfId="0" applyFont="1" applyBorder="1" applyAlignment="1">
      <alignment horizontal="center" vertical="center" wrapText="1"/>
    </xf>
    <xf numFmtId="0" fontId="62" fillId="7" borderId="11" xfId="0" applyFont="1" applyFill="1" applyBorder="1" applyAlignment="1" applyProtection="1">
      <alignment horizontal="center" vertical="center"/>
      <protection locked="0"/>
    </xf>
    <xf numFmtId="0" fontId="62" fillId="7" borderId="12" xfId="0" applyFont="1" applyFill="1" applyBorder="1" applyAlignment="1" applyProtection="1">
      <alignment horizontal="center" vertical="center"/>
      <protection locked="0"/>
    </xf>
    <xf numFmtId="176" fontId="62" fillId="6" borderId="56" xfId="0" applyNumberFormat="1" applyFont="1" applyFill="1" applyBorder="1" applyAlignment="1">
      <alignment horizontal="center" vertical="center" wrapText="1"/>
    </xf>
    <xf numFmtId="0" fontId="62" fillId="12" borderId="12" xfId="0" applyFont="1" applyFill="1" applyBorder="1" applyAlignment="1" applyProtection="1">
      <alignment horizontal="center" vertical="center" wrapText="1"/>
      <protection locked="0"/>
    </xf>
    <xf numFmtId="177" fontId="62" fillId="6" borderId="12" xfId="0" applyNumberFormat="1" applyFont="1" applyFill="1" applyBorder="1" applyAlignment="1">
      <alignment horizontal="center" vertical="center" wrapText="1"/>
    </xf>
    <xf numFmtId="178" fontId="62" fillId="6" borderId="28" xfId="0" applyNumberFormat="1" applyFont="1" applyFill="1" applyBorder="1" applyAlignment="1">
      <alignment horizontal="center" vertical="center" wrapText="1"/>
    </xf>
    <xf numFmtId="0" fontId="62" fillId="0" borderId="29" xfId="0" applyFont="1" applyBorder="1" applyAlignment="1">
      <alignment horizontal="center" vertical="center" wrapText="1"/>
    </xf>
    <xf numFmtId="0" fontId="7" fillId="5" borderId="41"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57" fillId="0" borderId="29" xfId="0" applyFont="1" applyBorder="1" applyAlignment="1">
      <alignment horizontal="center" vertical="center" wrapText="1"/>
    </xf>
    <xf numFmtId="0" fontId="57" fillId="0" borderId="30"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49" fontId="41" fillId="5" borderId="20" xfId="0" applyNumberFormat="1" applyFont="1" applyFill="1" applyBorder="1" applyAlignment="1">
      <alignment horizontal="center" vertical="center" wrapText="1"/>
    </xf>
    <xf numFmtId="49" fontId="44" fillId="5" borderId="21" xfId="0" applyNumberFormat="1" applyFont="1" applyFill="1" applyBorder="1" applyAlignment="1">
      <alignment horizontal="center" vertical="center"/>
    </xf>
    <xf numFmtId="49" fontId="44" fillId="5" borderId="8" xfId="0" applyNumberFormat="1" applyFont="1" applyFill="1" applyBorder="1" applyAlignment="1">
      <alignment horizontal="center" vertical="center"/>
    </xf>
    <xf numFmtId="0" fontId="57" fillId="0" borderId="3" xfId="0" applyFont="1" applyBorder="1" applyAlignment="1">
      <alignment vertical="center" wrapText="1"/>
    </xf>
    <xf numFmtId="0" fontId="57" fillId="0" borderId="4" xfId="0" applyFont="1" applyBorder="1" applyAlignment="1">
      <alignment vertical="center" wrapText="1"/>
    </xf>
    <xf numFmtId="0" fontId="57" fillId="0" borderId="5" xfId="0" applyFont="1" applyBorder="1" applyAlignment="1">
      <alignment vertical="center" wrapText="1"/>
    </xf>
    <xf numFmtId="0" fontId="35" fillId="5" borderId="20" xfId="0" applyFont="1" applyFill="1" applyBorder="1" applyAlignment="1">
      <alignment horizontal="center" vertical="center" shrinkToFit="1"/>
    </xf>
    <xf numFmtId="0" fontId="57" fillId="5" borderId="21" xfId="0" applyFont="1" applyFill="1" applyBorder="1" applyAlignment="1">
      <alignment horizontal="center" vertical="center" shrinkToFit="1"/>
    </xf>
    <xf numFmtId="0" fontId="62" fillId="7" borderId="28" xfId="0" applyFont="1" applyFill="1" applyBorder="1" applyAlignment="1" applyProtection="1">
      <alignment horizontal="center" vertical="center"/>
      <protection locked="0"/>
    </xf>
    <xf numFmtId="0" fontId="62" fillId="7" borderId="29" xfId="0" applyFont="1" applyFill="1" applyBorder="1" applyAlignment="1" applyProtection="1">
      <alignment horizontal="center" vertical="center"/>
      <protection locked="0"/>
    </xf>
    <xf numFmtId="177" fontId="62" fillId="6" borderId="29" xfId="0" applyNumberFormat="1" applyFont="1" applyFill="1" applyBorder="1" applyAlignment="1">
      <alignment horizontal="center" vertical="center" wrapText="1"/>
    </xf>
    <xf numFmtId="176" fontId="62" fillId="6" borderId="29" xfId="0" applyNumberFormat="1" applyFont="1" applyFill="1" applyBorder="1" applyAlignment="1">
      <alignment horizontal="center" vertical="center" wrapText="1"/>
    </xf>
    <xf numFmtId="0" fontId="62" fillId="0" borderId="30" xfId="0" applyFont="1" applyBorder="1" applyAlignment="1">
      <alignment horizontal="center" vertical="center" wrapText="1"/>
    </xf>
    <xf numFmtId="0" fontId="4" fillId="9" borderId="10" xfId="0" applyFont="1" applyFill="1" applyBorder="1" applyAlignment="1" applyProtection="1">
      <alignment horizontal="center" vertical="center"/>
      <protection locked="0"/>
    </xf>
    <xf numFmtId="0" fontId="62" fillId="9" borderId="6" xfId="0" applyFont="1" applyFill="1" applyBorder="1" applyAlignment="1" applyProtection="1">
      <alignment horizontal="center" vertical="center"/>
      <protection locked="0"/>
    </xf>
    <xf numFmtId="0" fontId="62" fillId="9" borderId="16" xfId="0" applyFont="1" applyFill="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17"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62" fillId="9" borderId="18" xfId="0" applyFont="1" applyFill="1" applyBorder="1" applyAlignment="1" applyProtection="1">
      <alignment horizontal="center" vertical="center"/>
      <protection locked="0"/>
    </xf>
    <xf numFmtId="0" fontId="62" fillId="9" borderId="7" xfId="0" applyFont="1" applyFill="1" applyBorder="1" applyAlignment="1" applyProtection="1">
      <alignment horizontal="center" vertical="center"/>
      <protection locked="0"/>
    </xf>
    <xf numFmtId="0" fontId="44" fillId="0" borderId="19" xfId="0" applyFont="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0" fontId="44" fillId="0" borderId="41" xfId="0" applyFont="1" applyBorder="1" applyAlignment="1" applyProtection="1">
      <alignment horizontal="center" vertical="center"/>
      <protection locked="0"/>
    </xf>
    <xf numFmtId="0" fontId="44" fillId="0" borderId="5" xfId="0" applyFont="1" applyBorder="1" applyAlignment="1" applyProtection="1">
      <alignment horizontal="center" vertical="center"/>
      <protection locked="0"/>
    </xf>
    <xf numFmtId="0" fontId="44" fillId="0" borderId="12" xfId="0" applyFont="1" applyBorder="1" applyAlignment="1" applyProtection="1">
      <alignment horizontal="center" vertical="center" wrapText="1"/>
      <protection locked="0"/>
    </xf>
    <xf numFmtId="176" fontId="62" fillId="6" borderId="83" xfId="0" applyNumberFormat="1" applyFont="1" applyFill="1" applyBorder="1" applyAlignment="1">
      <alignment horizontal="center" vertical="center" wrapText="1"/>
    </xf>
    <xf numFmtId="0" fontId="62" fillId="12" borderId="82" xfId="0" applyFont="1" applyFill="1" applyBorder="1" applyAlignment="1" applyProtection="1">
      <alignment horizontal="center" vertical="center" wrapText="1"/>
      <protection locked="0"/>
    </xf>
    <xf numFmtId="0" fontId="44" fillId="0" borderId="82" xfId="0" applyFont="1" applyBorder="1" applyAlignment="1" applyProtection="1">
      <alignment horizontal="center" vertical="center" wrapText="1"/>
      <protection locked="0"/>
    </xf>
    <xf numFmtId="0" fontId="81" fillId="5" borderId="36" xfId="0" applyFont="1" applyFill="1" applyBorder="1" applyAlignment="1" applyProtection="1">
      <alignment horizontal="center" vertical="center" wrapText="1"/>
      <protection locked="0"/>
    </xf>
    <xf numFmtId="0" fontId="62" fillId="0" borderId="56" xfId="0" applyFont="1" applyBorder="1" applyAlignment="1" applyProtection="1">
      <alignment horizontal="center" vertical="center" wrapText="1"/>
      <protection locked="0"/>
    </xf>
    <xf numFmtId="0" fontId="62" fillId="0" borderId="57" xfId="0" applyFont="1" applyBorder="1" applyAlignment="1" applyProtection="1">
      <alignment horizontal="center" vertical="center" wrapText="1"/>
      <protection locked="0"/>
    </xf>
    <xf numFmtId="0" fontId="7" fillId="5" borderId="3" xfId="0" applyFont="1" applyFill="1" applyBorder="1" applyAlignment="1">
      <alignment horizontal="center" vertical="center" wrapText="1"/>
    </xf>
    <xf numFmtId="0" fontId="7" fillId="5" borderId="43" xfId="0" applyFont="1" applyFill="1" applyBorder="1" applyAlignment="1">
      <alignment horizontal="center" vertical="center" wrapText="1"/>
    </xf>
    <xf numFmtId="178" fontId="62" fillId="6" borderId="24" xfId="0" applyNumberFormat="1" applyFont="1" applyFill="1" applyBorder="1" applyAlignment="1">
      <alignment horizontal="center" vertical="center" wrapText="1"/>
    </xf>
    <xf numFmtId="0" fontId="62" fillId="0" borderId="22" xfId="0" applyFont="1" applyBorder="1" applyAlignment="1">
      <alignment horizontal="center" vertical="center" wrapText="1"/>
    </xf>
    <xf numFmtId="177" fontId="62" fillId="6" borderId="22" xfId="0" applyNumberFormat="1" applyFont="1" applyFill="1" applyBorder="1" applyAlignment="1">
      <alignment horizontal="center" vertical="center" wrapText="1"/>
    </xf>
    <xf numFmtId="0" fontId="62" fillId="7" borderId="55" xfId="0" applyFont="1" applyFill="1" applyBorder="1" applyAlignment="1" applyProtection="1">
      <alignment horizontal="center" vertical="center"/>
      <protection locked="0"/>
    </xf>
    <xf numFmtId="0" fontId="62" fillId="7" borderId="56" xfId="0" applyFont="1" applyFill="1" applyBorder="1" applyAlignment="1" applyProtection="1">
      <alignment horizontal="center" vertical="center"/>
      <protection locked="0"/>
    </xf>
    <xf numFmtId="0" fontId="62" fillId="12" borderId="56" xfId="0" applyFont="1" applyFill="1" applyBorder="1" applyAlignment="1" applyProtection="1">
      <alignment horizontal="center" vertical="center" wrapText="1"/>
      <protection locked="0"/>
    </xf>
    <xf numFmtId="176" fontId="62" fillId="6" borderId="22" xfId="0" applyNumberFormat="1" applyFont="1" applyFill="1" applyBorder="1" applyAlignment="1">
      <alignment horizontal="center" vertical="center" wrapText="1"/>
    </xf>
    <xf numFmtId="0" fontId="62" fillId="0" borderId="23" xfId="0" applyFont="1" applyBorder="1" applyAlignment="1">
      <alignment horizontal="center" vertical="center" wrapText="1"/>
    </xf>
    <xf numFmtId="0" fontId="4" fillId="5" borderId="53" xfId="0" applyFont="1" applyFill="1" applyBorder="1" applyAlignment="1">
      <alignment horizontal="center" vertical="center"/>
    </xf>
    <xf numFmtId="0" fontId="0" fillId="0" borderId="54" xfId="0" applyBorder="1" applyAlignment="1">
      <alignment horizontal="center" vertical="center"/>
    </xf>
    <xf numFmtId="0" fontId="0" fillId="0" borderId="52" xfId="0" applyBorder="1" applyAlignment="1">
      <alignment horizontal="center" vertical="center"/>
    </xf>
    <xf numFmtId="0" fontId="62" fillId="6" borderId="21" xfId="0" applyFont="1" applyFill="1" applyBorder="1" applyAlignment="1">
      <alignment horizontal="center" vertical="center"/>
    </xf>
    <xf numFmtId="0" fontId="0" fillId="6" borderId="21" xfId="0" applyFill="1" applyBorder="1" applyAlignment="1">
      <alignment horizontal="center" vertical="center"/>
    </xf>
    <xf numFmtId="0" fontId="62" fillId="6" borderId="52" xfId="0" applyFont="1" applyFill="1" applyBorder="1" applyAlignment="1">
      <alignment horizontal="right" vertical="center"/>
    </xf>
    <xf numFmtId="0" fontId="0" fillId="0" borderId="21" xfId="0" applyBorder="1" applyAlignment="1">
      <alignment horizontal="right" vertical="center"/>
    </xf>
    <xf numFmtId="0" fontId="62" fillId="6" borderId="52" xfId="0" applyFont="1" applyFill="1" applyBorder="1" applyAlignment="1">
      <alignment horizontal="center" vertical="center"/>
    </xf>
    <xf numFmtId="0" fontId="0" fillId="0" borderId="21" xfId="0" applyBorder="1">
      <alignment vertical="center"/>
    </xf>
    <xf numFmtId="178" fontId="62" fillId="6" borderId="25" xfId="0" applyNumberFormat="1" applyFont="1" applyFill="1" applyBorder="1" applyAlignment="1">
      <alignment horizontal="center" vertical="center"/>
    </xf>
    <xf numFmtId="178" fontId="62" fillId="6" borderId="26" xfId="0" applyNumberFormat="1" applyFont="1" applyFill="1" applyBorder="1" applyAlignment="1">
      <alignment horizontal="center" vertical="center"/>
    </xf>
    <xf numFmtId="178" fontId="62" fillId="6" borderId="14" xfId="0" applyNumberFormat="1" applyFont="1" applyFill="1" applyBorder="1" applyAlignment="1">
      <alignment horizontal="center" vertical="center"/>
    </xf>
    <xf numFmtId="0" fontId="62" fillId="5" borderId="14" xfId="0" applyFont="1" applyFill="1" applyBorder="1" applyAlignment="1" applyProtection="1">
      <alignment horizontal="center" vertical="center" wrapText="1"/>
      <protection locked="0"/>
    </xf>
    <xf numFmtId="49" fontId="62" fillId="9" borderId="3" xfId="0" applyNumberFormat="1" applyFont="1" applyFill="1" applyBorder="1" applyAlignment="1" applyProtection="1">
      <alignment horizontal="center" vertical="center" wrapText="1"/>
      <protection locked="0"/>
    </xf>
    <xf numFmtId="49" fontId="62" fillId="9" borderId="4" xfId="0" applyNumberFormat="1" applyFont="1" applyFill="1" applyBorder="1" applyAlignment="1" applyProtection="1">
      <alignment horizontal="center" vertical="center" wrapText="1"/>
      <protection locked="0"/>
    </xf>
    <xf numFmtId="49" fontId="62" fillId="9" borderId="5" xfId="0" applyNumberFormat="1" applyFont="1" applyFill="1" applyBorder="1" applyAlignment="1" applyProtection="1">
      <alignment horizontal="center" vertical="center" wrapText="1"/>
      <protection locked="0"/>
    </xf>
    <xf numFmtId="0" fontId="4" fillId="5" borderId="25" xfId="0" applyFont="1" applyFill="1" applyBorder="1" applyAlignment="1">
      <alignment horizontal="center" vertical="center"/>
    </xf>
    <xf numFmtId="0" fontId="4" fillId="5" borderId="26" xfId="0" applyFont="1" applyFill="1" applyBorder="1" applyAlignment="1">
      <alignment horizontal="center" vertical="center"/>
    </xf>
    <xf numFmtId="0" fontId="4" fillId="5" borderId="14" xfId="0" applyFont="1" applyFill="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5" xfId="0" applyFont="1" applyBorder="1" applyAlignment="1">
      <alignment horizontal="center" vertical="center"/>
    </xf>
    <xf numFmtId="0" fontId="4" fillId="5" borderId="10" xfId="0" applyFont="1" applyFill="1" applyBorder="1">
      <alignment vertical="center"/>
    </xf>
    <xf numFmtId="0" fontId="62" fillId="5" borderId="6" xfId="0" applyFont="1" applyFill="1" applyBorder="1">
      <alignment vertical="center"/>
    </xf>
    <xf numFmtId="0" fontId="62" fillId="5" borderId="7" xfId="0" applyFont="1" applyFill="1" applyBorder="1">
      <alignment vertical="center"/>
    </xf>
    <xf numFmtId="0" fontId="84" fillId="5" borderId="20" xfId="0" applyFont="1" applyFill="1" applyBorder="1" applyAlignment="1">
      <alignment horizontal="center" vertical="center" shrinkToFit="1"/>
    </xf>
    <xf numFmtId="177" fontId="62" fillId="6" borderId="13" xfId="0" applyNumberFormat="1" applyFont="1" applyFill="1" applyBorder="1" applyAlignment="1">
      <alignment horizontal="center" vertical="center"/>
    </xf>
    <xf numFmtId="177" fontId="62" fillId="6" borderId="26" xfId="0" applyNumberFormat="1" applyFont="1" applyFill="1" applyBorder="1" applyAlignment="1">
      <alignment horizontal="center" vertical="center"/>
    </xf>
    <xf numFmtId="177" fontId="62" fillId="6" borderId="14" xfId="0" applyNumberFormat="1" applyFont="1" applyFill="1" applyBorder="1" applyAlignment="1">
      <alignment horizontal="center" vertical="center"/>
    </xf>
    <xf numFmtId="176" fontId="62" fillId="6" borderId="13" xfId="0" applyNumberFormat="1" applyFont="1" applyFill="1" applyBorder="1" applyAlignment="1">
      <alignment horizontal="center" vertical="center"/>
    </xf>
    <xf numFmtId="176" fontId="62" fillId="6" borderId="26" xfId="0" applyNumberFormat="1" applyFont="1" applyFill="1" applyBorder="1" applyAlignment="1">
      <alignment horizontal="center" vertical="center"/>
    </xf>
    <xf numFmtId="176" fontId="62" fillId="6" borderId="27" xfId="0" applyNumberFormat="1" applyFont="1" applyFill="1" applyBorder="1" applyAlignment="1">
      <alignment horizontal="center" vertical="center"/>
    </xf>
    <xf numFmtId="0" fontId="0" fillId="0" borderId="8" xfId="0" applyBorder="1">
      <alignment vertical="center"/>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38" fillId="5" borderId="10" xfId="0" applyFont="1" applyFill="1" applyBorder="1" applyAlignment="1">
      <alignment horizontal="center" vertical="center" wrapText="1"/>
    </xf>
    <xf numFmtId="178" fontId="62" fillId="6" borderId="44" xfId="0" applyNumberFormat="1" applyFont="1" applyFill="1" applyBorder="1" applyAlignment="1">
      <alignment horizontal="center" vertical="center"/>
    </xf>
    <xf numFmtId="178" fontId="62" fillId="6" borderId="39" xfId="0" applyNumberFormat="1" applyFont="1" applyFill="1" applyBorder="1" applyAlignment="1">
      <alignment horizontal="center" vertical="center"/>
    </xf>
    <xf numFmtId="178" fontId="62" fillId="6" borderId="45" xfId="0" applyNumberFormat="1" applyFont="1" applyFill="1" applyBorder="1" applyAlignment="1">
      <alignment horizontal="center" vertical="center"/>
    </xf>
    <xf numFmtId="177" fontId="62" fillId="6" borderId="38" xfId="0" applyNumberFormat="1" applyFont="1" applyFill="1" applyBorder="1" applyAlignment="1">
      <alignment horizontal="center" vertical="center"/>
    </xf>
    <xf numFmtId="177" fontId="62" fillId="6" borderId="39" xfId="0" applyNumberFormat="1" applyFont="1" applyFill="1" applyBorder="1" applyAlignment="1">
      <alignment horizontal="center" vertical="center"/>
    </xf>
    <xf numFmtId="177" fontId="62" fillId="6" borderId="45" xfId="0" applyNumberFormat="1" applyFont="1" applyFill="1" applyBorder="1" applyAlignment="1">
      <alignment horizontal="center" vertical="center"/>
    </xf>
    <xf numFmtId="176" fontId="62" fillId="6" borderId="38" xfId="0" applyNumberFormat="1" applyFont="1" applyFill="1" applyBorder="1" applyAlignment="1">
      <alignment horizontal="center" vertical="center"/>
    </xf>
    <xf numFmtId="176" fontId="62" fillId="6" borderId="39" xfId="0" applyNumberFormat="1" applyFont="1" applyFill="1" applyBorder="1" applyAlignment="1">
      <alignment horizontal="center" vertical="center"/>
    </xf>
    <xf numFmtId="176" fontId="62" fillId="6" borderId="40" xfId="0" applyNumberFormat="1" applyFont="1" applyFill="1" applyBorder="1" applyAlignment="1">
      <alignment horizontal="center" vertical="center"/>
    </xf>
    <xf numFmtId="0" fontId="2" fillId="5" borderId="34"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38" xfId="0" applyFont="1" applyFill="1" applyBorder="1" applyAlignment="1" applyProtection="1">
      <alignment horizontal="center" vertical="center" wrapText="1"/>
      <protection locked="0"/>
    </xf>
    <xf numFmtId="0" fontId="2" fillId="5" borderId="39" xfId="0" applyFont="1" applyFill="1" applyBorder="1" applyAlignment="1" applyProtection="1">
      <alignment horizontal="center" vertical="center" wrapText="1"/>
      <protection locked="0"/>
    </xf>
    <xf numFmtId="0" fontId="2" fillId="5" borderId="45" xfId="0" applyFont="1" applyFill="1" applyBorder="1" applyAlignment="1" applyProtection="1">
      <alignment horizontal="center" vertical="center" wrapText="1"/>
      <protection locked="0"/>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5" borderId="44" xfId="0" applyFont="1" applyFill="1" applyBorder="1" applyAlignment="1" applyProtection="1">
      <alignment horizontal="center" vertical="center" wrapText="1"/>
      <protection locked="0"/>
    </xf>
    <xf numFmtId="0" fontId="2" fillId="5" borderId="50" xfId="0" applyFont="1" applyFill="1" applyBorder="1" applyAlignment="1">
      <alignment horizontal="center" vertical="center" wrapText="1"/>
    </xf>
    <xf numFmtId="0" fontId="2" fillId="5" borderId="37" xfId="0" applyFont="1" applyFill="1" applyBorder="1" applyAlignment="1">
      <alignment horizontal="center" vertical="center" wrapText="1"/>
    </xf>
    <xf numFmtId="0" fontId="4" fillId="5" borderId="13" xfId="0" applyFont="1" applyFill="1" applyBorder="1">
      <alignment vertical="center"/>
    </xf>
    <xf numFmtId="0" fontId="4" fillId="5" borderId="26" xfId="0" applyFont="1" applyFill="1" applyBorder="1">
      <alignment vertical="center"/>
    </xf>
    <xf numFmtId="0" fontId="4" fillId="5" borderId="14" xfId="0" applyFont="1" applyFill="1" applyBorder="1">
      <alignment vertical="center"/>
    </xf>
    <xf numFmtId="0" fontId="4" fillId="5" borderId="13" xfId="0" applyFont="1" applyFill="1" applyBorder="1" applyAlignment="1">
      <alignment vertical="center" shrinkToFit="1"/>
    </xf>
    <xf numFmtId="0" fontId="4" fillId="5" borderId="26" xfId="0" applyFont="1" applyFill="1" applyBorder="1" applyAlignment="1">
      <alignment vertical="center" shrinkToFit="1"/>
    </xf>
    <xf numFmtId="0" fontId="4" fillId="5" borderId="27" xfId="0" applyFont="1" applyFill="1" applyBorder="1" applyAlignment="1">
      <alignment vertical="center" shrinkToFit="1"/>
    </xf>
    <xf numFmtId="0" fontId="2" fillId="5" borderId="34" xfId="0" applyFont="1" applyFill="1" applyBorder="1">
      <alignment vertical="center"/>
    </xf>
    <xf numFmtId="0" fontId="2" fillId="5" borderId="35" xfId="0" applyFont="1" applyFill="1" applyBorder="1">
      <alignment vertical="center"/>
    </xf>
    <xf numFmtId="0" fontId="2" fillId="5" borderId="37" xfId="0" applyFont="1" applyFill="1" applyBorder="1">
      <alignment vertical="center"/>
    </xf>
    <xf numFmtId="0" fontId="7" fillId="5" borderId="20"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8" xfId="0" applyFont="1" applyFill="1" applyBorder="1" applyAlignment="1">
      <alignment horizontal="center" vertical="center"/>
    </xf>
    <xf numFmtId="0" fontId="4" fillId="5" borderId="31" xfId="0" applyFont="1" applyFill="1" applyBorder="1" applyAlignment="1">
      <alignment horizontal="center" vertical="center" shrinkToFit="1"/>
    </xf>
    <xf numFmtId="0" fontId="4" fillId="5" borderId="32" xfId="0" applyFont="1" applyFill="1" applyBorder="1" applyAlignment="1">
      <alignment horizontal="center" vertical="center" shrinkToFit="1"/>
    </xf>
    <xf numFmtId="0" fontId="4" fillId="5" borderId="33" xfId="0" applyFont="1" applyFill="1" applyBorder="1" applyAlignment="1">
      <alignment horizontal="center" vertical="center" shrinkToFit="1"/>
    </xf>
    <xf numFmtId="0" fontId="4" fillId="5" borderId="34"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36" xfId="0" applyFont="1" applyFill="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83" fillId="8" borderId="0" xfId="0" applyNumberFormat="1" applyFont="1" applyFill="1" applyAlignment="1">
      <alignment horizontal="center" vertical="center" shrinkToFit="1"/>
    </xf>
    <xf numFmtId="0" fontId="4" fillId="5" borderId="2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62" fillId="5" borderId="36" xfId="0" applyFont="1" applyFill="1" applyBorder="1" applyAlignment="1" applyProtection="1">
      <alignment horizontal="center" vertical="center" wrapText="1"/>
      <protection locked="0"/>
    </xf>
    <xf numFmtId="0" fontId="62" fillId="12" borderId="29" xfId="0" applyFont="1" applyFill="1" applyBorder="1" applyAlignment="1" applyProtection="1">
      <alignment horizontal="center" vertical="center" wrapText="1"/>
      <protection locked="0"/>
    </xf>
    <xf numFmtId="0" fontId="44" fillId="0" borderId="29" xfId="0" applyFont="1" applyBorder="1" applyAlignment="1" applyProtection="1">
      <alignment horizontal="center" vertical="center" wrapText="1"/>
      <protection locked="0"/>
    </xf>
    <xf numFmtId="178" fontId="62" fillId="6" borderId="31" xfId="0" applyNumberFormat="1" applyFont="1" applyFill="1" applyBorder="1" applyAlignment="1">
      <alignment horizontal="center" vertical="center"/>
    </xf>
    <xf numFmtId="178" fontId="62" fillId="6" borderId="32" xfId="0" applyNumberFormat="1" applyFont="1" applyFill="1" applyBorder="1" applyAlignment="1">
      <alignment horizontal="center" vertical="center"/>
    </xf>
    <xf numFmtId="178" fontId="62" fillId="6" borderId="33" xfId="0" applyNumberFormat="1" applyFont="1" applyFill="1" applyBorder="1" applyAlignment="1">
      <alignment horizontal="center" vertical="center"/>
    </xf>
    <xf numFmtId="0" fontId="4" fillId="5" borderId="10"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43" xfId="0" applyFont="1" applyFill="1" applyBorder="1" applyAlignment="1">
      <alignment horizontal="center" vertical="center" wrapText="1"/>
    </xf>
    <xf numFmtId="0" fontId="4" fillId="5" borderId="18" xfId="0" applyFont="1" applyFill="1" applyBorder="1" applyAlignment="1">
      <alignment horizontal="center" vertical="center" wrapText="1"/>
    </xf>
    <xf numFmtId="177" fontId="62" fillId="6" borderId="46" xfId="0" applyNumberFormat="1" applyFont="1" applyFill="1" applyBorder="1" applyAlignment="1">
      <alignment horizontal="center" vertical="center"/>
    </xf>
    <xf numFmtId="177" fontId="62" fillId="6" borderId="32" xfId="0" applyNumberFormat="1" applyFont="1" applyFill="1" applyBorder="1" applyAlignment="1">
      <alignment horizontal="center" vertical="center"/>
    </xf>
    <xf numFmtId="177" fontId="62" fillId="6" borderId="33" xfId="0" applyNumberFormat="1" applyFont="1" applyFill="1" applyBorder="1" applyAlignment="1">
      <alignment horizontal="center" vertical="center"/>
    </xf>
    <xf numFmtId="176" fontId="62" fillId="6" borderId="46" xfId="0" applyNumberFormat="1" applyFont="1" applyFill="1" applyBorder="1" applyAlignment="1">
      <alignment horizontal="center" vertical="center"/>
    </xf>
    <xf numFmtId="176" fontId="62" fillId="6" borderId="32" xfId="0" applyNumberFormat="1" applyFont="1" applyFill="1" applyBorder="1" applyAlignment="1">
      <alignment horizontal="center" vertical="center"/>
    </xf>
    <xf numFmtId="176" fontId="62" fillId="6" borderId="42" xfId="0" applyNumberFormat="1" applyFont="1" applyFill="1" applyBorder="1" applyAlignment="1">
      <alignment horizontal="center" vertical="center"/>
    </xf>
    <xf numFmtId="0" fontId="4" fillId="5" borderId="7"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62" fillId="5" borderId="45" xfId="0" applyFont="1" applyFill="1" applyBorder="1" applyAlignment="1" applyProtection="1">
      <alignment horizontal="center" vertical="center" wrapText="1"/>
      <protection locked="0"/>
    </xf>
    <xf numFmtId="0" fontId="4" fillId="6" borderId="46"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4" fillId="6" borderId="38"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45" xfId="0" applyBorder="1" applyAlignment="1">
      <alignment horizontal="center" vertical="center" wrapText="1"/>
    </xf>
    <xf numFmtId="0" fontId="0" fillId="0" borderId="40" xfId="0" applyBorder="1" applyAlignment="1">
      <alignment horizontal="center" vertical="center" wrapText="1"/>
    </xf>
    <xf numFmtId="179" fontId="4" fillId="6" borderId="12" xfId="0" applyNumberFormat="1" applyFont="1" applyFill="1" applyBorder="1" applyAlignment="1">
      <alignment horizontal="center" vertical="center" wrapText="1"/>
    </xf>
    <xf numFmtId="179" fontId="4" fillId="6" borderId="15" xfId="0" applyNumberFormat="1" applyFont="1" applyFill="1" applyBorder="1" applyAlignment="1">
      <alignment horizontal="center" vertical="center" wrapText="1"/>
    </xf>
    <xf numFmtId="0" fontId="4" fillId="7" borderId="25" xfId="0" applyFont="1" applyFill="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4" fillId="7" borderId="13" xfId="0" applyFont="1" applyFill="1"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2" fillId="5" borderId="26" xfId="0" applyFont="1" applyFill="1"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177" fontId="4" fillId="6" borderId="11" xfId="0" applyNumberFormat="1" applyFont="1" applyFill="1" applyBorder="1" applyAlignment="1">
      <alignment horizontal="center" vertical="center" wrapText="1"/>
    </xf>
    <xf numFmtId="177" fontId="4" fillId="6" borderId="12" xfId="0" applyNumberFormat="1" applyFont="1" applyFill="1" applyBorder="1" applyAlignment="1">
      <alignment horizontal="center" vertical="center" wrapText="1"/>
    </xf>
    <xf numFmtId="0" fontId="4" fillId="6" borderId="13"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14" xfId="0" applyBorder="1" applyAlignment="1">
      <alignment horizontal="center" vertical="center" wrapText="1"/>
    </xf>
    <xf numFmtId="0" fontId="0" fillId="0" borderId="27" xfId="0" applyBorder="1" applyAlignment="1">
      <alignment horizontal="center" vertical="center" wrapText="1"/>
    </xf>
    <xf numFmtId="0" fontId="4" fillId="7" borderId="25" xfId="0" applyFont="1" applyFill="1" applyBorder="1" applyAlignment="1" applyProtection="1">
      <alignment horizontal="center" vertical="center" wrapText="1"/>
      <protection locked="0"/>
    </xf>
    <xf numFmtId="0" fontId="57" fillId="0" borderId="3" xfId="0" applyFont="1" applyBorder="1" applyAlignment="1">
      <alignment horizontal="left" vertical="center" wrapText="1"/>
    </xf>
    <xf numFmtId="0" fontId="57" fillId="0" borderId="4" xfId="0" applyFont="1" applyBorder="1" applyAlignment="1">
      <alignment horizontal="left" vertical="center" wrapText="1"/>
    </xf>
    <xf numFmtId="0" fontId="57" fillId="0" borderId="5" xfId="0" applyFont="1" applyBorder="1" applyAlignment="1">
      <alignment horizontal="left" vertical="center" wrapText="1"/>
    </xf>
    <xf numFmtId="0" fontId="4" fillId="5" borderId="31" xfId="0" applyFont="1" applyFill="1" applyBorder="1" applyAlignment="1">
      <alignment horizontal="center" vertical="center"/>
    </xf>
    <xf numFmtId="0" fontId="4" fillId="5" borderId="32" xfId="0" applyFont="1" applyFill="1" applyBorder="1" applyAlignment="1">
      <alignment horizontal="center" vertical="center"/>
    </xf>
    <xf numFmtId="0" fontId="4" fillId="5" borderId="42" xfId="0" applyFont="1" applyFill="1" applyBorder="1" applyAlignment="1">
      <alignment horizontal="center" vertical="center"/>
    </xf>
    <xf numFmtId="0" fontId="7" fillId="5" borderId="25" xfId="0" applyFont="1" applyFill="1" applyBorder="1" applyAlignment="1">
      <alignment horizontal="center" vertical="center" shrinkToFit="1"/>
    </xf>
    <xf numFmtId="0" fontId="7" fillId="5" borderId="14" xfId="0" applyFont="1" applyFill="1" applyBorder="1" applyAlignment="1">
      <alignment horizontal="center" vertical="center" shrinkToFit="1"/>
    </xf>
    <xf numFmtId="0" fontId="4" fillId="5" borderId="13" xfId="0" applyFont="1" applyFill="1" applyBorder="1" applyAlignment="1">
      <alignment horizontal="center" vertical="center"/>
    </xf>
    <xf numFmtId="0" fontId="2" fillId="7" borderId="21" xfId="0" applyFont="1" applyFill="1" applyBorder="1" applyAlignment="1" applyProtection="1">
      <alignment horizontal="center" vertical="center" wrapText="1"/>
      <protection locked="0"/>
    </xf>
    <xf numFmtId="0" fontId="2" fillId="7" borderId="51" xfId="0" applyFont="1" applyFill="1" applyBorder="1" applyAlignment="1" applyProtection="1">
      <alignment horizontal="center" vertical="center" wrapText="1"/>
      <protection locked="0"/>
    </xf>
    <xf numFmtId="0" fontId="2" fillId="7" borderId="8" xfId="0" applyFont="1" applyFill="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4" fillId="7" borderId="31" xfId="0" applyFont="1" applyFill="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42" xfId="0" applyBorder="1" applyAlignment="1">
      <alignment horizontal="center" vertical="center" wrapText="1"/>
    </xf>
    <xf numFmtId="0" fontId="57" fillId="0" borderId="3" xfId="0" applyFont="1" applyBorder="1" applyAlignment="1">
      <alignment horizontal="center" vertical="center" wrapText="1" shrinkToFit="1"/>
    </xf>
    <xf numFmtId="0" fontId="57" fillId="0" borderId="4" xfId="0" applyFont="1" applyBorder="1" applyAlignment="1">
      <alignment horizontal="center" vertical="center" wrapText="1" shrinkToFit="1"/>
    </xf>
    <xf numFmtId="0" fontId="57" fillId="0" borderId="43" xfId="0" applyFont="1" applyBorder="1" applyAlignment="1">
      <alignment horizontal="center" vertical="center" wrapText="1" shrinkToFit="1"/>
    </xf>
    <xf numFmtId="0" fontId="2" fillId="5" borderId="40" xfId="0" applyFont="1" applyFill="1" applyBorder="1" applyAlignment="1" applyProtection="1">
      <alignment horizontal="center" vertical="center" wrapText="1"/>
      <protection locked="0"/>
    </xf>
    <xf numFmtId="0" fontId="4" fillId="7" borderId="44" xfId="0" applyFont="1" applyFill="1"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49" fontId="4" fillId="5" borderId="13" xfId="0" applyNumberFormat="1" applyFont="1" applyFill="1" applyBorder="1" applyAlignment="1">
      <alignment horizontal="center" vertical="center"/>
    </xf>
    <xf numFmtId="49" fontId="4" fillId="5" borderId="26" xfId="0" applyNumberFormat="1" applyFont="1" applyFill="1" applyBorder="1" applyAlignment="1">
      <alignment horizontal="center" vertical="center"/>
    </xf>
    <xf numFmtId="49" fontId="4" fillId="5" borderId="14" xfId="0" applyNumberFormat="1" applyFont="1" applyFill="1" applyBorder="1" applyAlignment="1">
      <alignment horizontal="center" vertical="center"/>
    </xf>
    <xf numFmtId="0" fontId="2" fillId="5" borderId="13"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27" xfId="0" applyFont="1" applyFill="1" applyBorder="1" applyAlignment="1">
      <alignment horizontal="center" vertical="center"/>
    </xf>
    <xf numFmtId="0" fontId="2" fillId="5" borderId="31"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4" fillId="9" borderId="3" xfId="0" applyFont="1" applyFill="1" applyBorder="1" applyAlignment="1" applyProtection="1">
      <alignment horizontal="center" vertical="center" wrapText="1"/>
      <protection locked="0"/>
    </xf>
    <xf numFmtId="0" fontId="4" fillId="9" borderId="4" xfId="0" applyFont="1" applyFill="1" applyBorder="1" applyAlignment="1" applyProtection="1">
      <alignment horizontal="center" vertical="center" wrapText="1"/>
      <protection locked="0"/>
    </xf>
    <xf numFmtId="0" fontId="4" fillId="9" borderId="5" xfId="0" applyFont="1" applyFill="1" applyBorder="1" applyAlignment="1" applyProtection="1">
      <alignment horizontal="center" vertical="center" wrapText="1"/>
      <protection locked="0"/>
    </xf>
    <xf numFmtId="0" fontId="4" fillId="6" borderId="38" xfId="0" applyFont="1" applyFill="1" applyBorder="1" applyAlignment="1">
      <alignment horizontal="center" vertical="center"/>
    </xf>
    <xf numFmtId="0" fontId="4" fillId="6" borderId="39" xfId="0" applyFont="1" applyFill="1" applyBorder="1" applyAlignment="1">
      <alignment horizontal="center" vertical="center"/>
    </xf>
    <xf numFmtId="0" fontId="4" fillId="6" borderId="45" xfId="0" applyFont="1" applyFill="1" applyBorder="1" applyAlignment="1">
      <alignment horizontal="center" vertical="center"/>
    </xf>
    <xf numFmtId="0" fontId="2" fillId="5" borderId="38" xfId="0" applyFont="1" applyFill="1" applyBorder="1" applyAlignment="1" applyProtection="1">
      <alignment horizontal="center" vertical="center"/>
      <protection locked="0"/>
    </xf>
    <xf numFmtId="0" fontId="2" fillId="5" borderId="39" xfId="0" applyFont="1" applyFill="1" applyBorder="1" applyAlignment="1" applyProtection="1">
      <alignment horizontal="center" vertical="center"/>
      <protection locked="0"/>
    </xf>
    <xf numFmtId="0" fontId="2" fillId="5" borderId="40" xfId="0" applyFont="1" applyFill="1" applyBorder="1" applyAlignment="1" applyProtection="1">
      <alignment horizontal="center" vertical="center"/>
      <protection locked="0"/>
    </xf>
    <xf numFmtId="0" fontId="3" fillId="5" borderId="10" xfId="0" applyFont="1" applyFill="1" applyBorder="1" applyAlignment="1">
      <alignment horizontal="left" vertical="center" wrapText="1"/>
    </xf>
    <xf numFmtId="0" fontId="6" fillId="0" borderId="6"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7" xfId="0" applyFont="1" applyFill="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5" borderId="29" xfId="0" applyFont="1" applyFill="1" applyBorder="1" applyAlignment="1" applyProtection="1">
      <alignment horizontal="center" vertical="center" wrapText="1"/>
      <protection locked="0"/>
    </xf>
    <xf numFmtId="179" fontId="4" fillId="6" borderId="3" xfId="0" applyNumberFormat="1" applyFont="1" applyFill="1" applyBorder="1" applyAlignment="1">
      <alignment horizontal="center" vertical="center" wrapText="1"/>
    </xf>
    <xf numFmtId="179" fontId="0" fillId="0" borderId="4" xfId="0" applyNumberFormat="1" applyBorder="1" applyAlignment="1">
      <alignment horizontal="center" vertical="center"/>
    </xf>
    <xf numFmtId="179" fontId="0" fillId="0" borderId="5" xfId="0" applyNumberFormat="1" applyBorder="1" applyAlignment="1">
      <alignment horizontal="center" vertical="center"/>
    </xf>
    <xf numFmtId="0" fontId="30" fillId="5" borderId="10" xfId="0" applyFont="1" applyFill="1" applyBorder="1" applyAlignment="1">
      <alignment horizontal="center" vertical="center" wrapText="1" shrinkToFit="1"/>
    </xf>
    <xf numFmtId="0" fontId="57" fillId="0" borderId="6" xfId="0" applyFont="1" applyBorder="1" applyAlignment="1">
      <alignment horizontal="center" vertical="center"/>
    </xf>
    <xf numFmtId="0" fontId="57" fillId="0" borderId="7" xfId="0" applyFont="1" applyBorder="1" applyAlignment="1">
      <alignment horizontal="center"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pplyAlignment="1">
      <alignment horizontal="center" vertical="center"/>
    </xf>
    <xf numFmtId="0" fontId="2" fillId="5" borderId="50"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30" xfId="0" applyFont="1" applyFill="1" applyBorder="1" applyAlignment="1" applyProtection="1">
      <alignment horizontal="center" vertical="center" wrapText="1"/>
      <protection locked="0"/>
    </xf>
    <xf numFmtId="177" fontId="4" fillId="6" borderId="28" xfId="0" applyNumberFormat="1" applyFont="1" applyFill="1" applyBorder="1" applyAlignment="1">
      <alignment horizontal="center" vertical="center" wrapText="1"/>
    </xf>
    <xf numFmtId="177" fontId="4" fillId="6" borderId="29" xfId="0" applyNumberFormat="1" applyFont="1" applyFill="1" applyBorder="1" applyAlignment="1">
      <alignment horizontal="center" vertical="center" wrapText="1"/>
    </xf>
    <xf numFmtId="0" fontId="2" fillId="0" borderId="48" xfId="0" applyFont="1" applyBorder="1" applyAlignment="1">
      <alignment horizontal="center" vertical="center"/>
    </xf>
    <xf numFmtId="0" fontId="0" fillId="0" borderId="48" xfId="0" applyBorder="1" applyAlignment="1">
      <alignment horizontal="center" vertical="center"/>
    </xf>
    <xf numFmtId="177" fontId="4" fillId="6" borderId="4" xfId="0" applyNumberFormat="1" applyFont="1" applyFill="1" applyBorder="1" applyAlignment="1">
      <alignment horizontal="right" vertical="center"/>
    </xf>
    <xf numFmtId="0" fontId="44" fillId="6" borderId="4" xfId="0" applyFont="1" applyFill="1" applyBorder="1" applyAlignment="1">
      <alignment horizontal="right" vertical="center"/>
    </xf>
    <xf numFmtId="0" fontId="62" fillId="6" borderId="4" xfId="0" applyFont="1" applyFill="1" applyBorder="1" applyAlignment="1">
      <alignment horizontal="center" vertical="center"/>
    </xf>
    <xf numFmtId="0" fontId="62" fillId="6" borderId="5" xfId="0" applyFont="1" applyFill="1" applyBorder="1" applyAlignment="1">
      <alignment horizontal="center" vertical="center"/>
    </xf>
    <xf numFmtId="0" fontId="4" fillId="0" borderId="12" xfId="0" applyFont="1" applyBorder="1" applyAlignment="1">
      <alignment horizontal="center" vertical="center" wrapText="1"/>
    </xf>
    <xf numFmtId="179" fontId="4" fillId="6" borderId="48" xfId="0" applyNumberFormat="1" applyFont="1" applyFill="1" applyBorder="1" applyAlignment="1">
      <alignment horizontal="center" vertical="center" wrapText="1"/>
    </xf>
    <xf numFmtId="179" fontId="4" fillId="6" borderId="49" xfId="0" applyNumberFormat="1" applyFont="1" applyFill="1" applyBorder="1" applyAlignment="1">
      <alignment horizontal="center" vertical="center" wrapText="1"/>
    </xf>
    <xf numFmtId="0" fontId="4" fillId="5" borderId="20" xfId="0" applyFont="1" applyFill="1" applyBorder="1" applyAlignment="1">
      <alignment horizontal="center" vertical="center"/>
    </xf>
    <xf numFmtId="0" fontId="4" fillId="5" borderId="21" xfId="0" applyFont="1" applyFill="1" applyBorder="1" applyAlignment="1">
      <alignment horizontal="center" vertical="center"/>
    </xf>
    <xf numFmtId="0" fontId="4" fillId="5" borderId="8" xfId="0" applyFont="1" applyFill="1" applyBorder="1" applyAlignment="1">
      <alignment horizontal="center" vertical="center"/>
    </xf>
    <xf numFmtId="0" fontId="4" fillId="0" borderId="29" xfId="0" applyFont="1" applyBorder="1" applyAlignment="1">
      <alignment horizontal="center" vertical="center" wrapText="1"/>
    </xf>
    <xf numFmtId="179" fontId="4" fillId="6" borderId="29" xfId="0" applyNumberFormat="1" applyFont="1" applyFill="1" applyBorder="1" applyAlignment="1">
      <alignment horizontal="center" vertical="center" wrapText="1"/>
    </xf>
    <xf numFmtId="179" fontId="4" fillId="6" borderId="30" xfId="0" applyNumberFormat="1" applyFont="1" applyFill="1" applyBorder="1" applyAlignment="1">
      <alignment horizontal="center" vertical="center" wrapText="1"/>
    </xf>
    <xf numFmtId="0" fontId="4" fillId="7" borderId="28" xfId="0" applyFont="1" applyFill="1" applyBorder="1" applyAlignment="1" applyProtection="1">
      <alignment horizontal="center" vertical="center"/>
      <protection locked="0"/>
    </xf>
    <xf numFmtId="0" fontId="4" fillId="7" borderId="29" xfId="0" applyFont="1" applyFill="1" applyBorder="1" applyAlignment="1" applyProtection="1">
      <alignment horizontal="center" vertical="center" wrapText="1"/>
      <protection locked="0"/>
    </xf>
    <xf numFmtId="0" fontId="4" fillId="5" borderId="47" xfId="0" applyFont="1" applyFill="1" applyBorder="1" applyAlignment="1">
      <alignment horizontal="center" vertical="center"/>
    </xf>
    <xf numFmtId="0" fontId="44" fillId="5" borderId="48" xfId="0" applyFont="1" applyFill="1" applyBorder="1" applyAlignment="1">
      <alignment horizontal="center" vertical="center"/>
    </xf>
    <xf numFmtId="0" fontId="44" fillId="5" borderId="41" xfId="0" applyFont="1" applyFill="1" applyBorder="1" applyAlignment="1">
      <alignment horizontal="center" vertical="center"/>
    </xf>
    <xf numFmtId="0" fontId="4" fillId="6" borderId="41" xfId="0" applyFont="1" applyFill="1" applyBorder="1" applyAlignment="1">
      <alignment horizontal="right" vertical="center"/>
    </xf>
    <xf numFmtId="0" fontId="0" fillId="0" borderId="4" xfId="0" applyBorder="1" applyAlignment="1">
      <alignment horizontal="right" vertical="center"/>
    </xf>
    <xf numFmtId="0" fontId="88" fillId="6" borderId="4" xfId="0" applyFont="1" applyFill="1" applyBorder="1" applyAlignment="1">
      <alignment horizontal="center" vertical="center"/>
    </xf>
    <xf numFmtId="0" fontId="46" fillId="0" borderId="4" xfId="0" applyFont="1" applyBorder="1" applyAlignment="1">
      <alignment horizontal="center" vertical="center"/>
    </xf>
    <xf numFmtId="0" fontId="5" fillId="5" borderId="18"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17" xfId="0" applyFont="1" applyFill="1" applyBorder="1" applyAlignment="1">
      <alignment horizontal="center" vertical="center" wrapText="1"/>
    </xf>
    <xf numFmtId="0" fontId="2" fillId="5" borderId="22"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0" fontId="4" fillId="7" borderId="11" xfId="0" applyFont="1" applyFill="1" applyBorder="1" applyAlignment="1" applyProtection="1">
      <alignment horizontal="center" vertical="center"/>
      <protection locked="0"/>
    </xf>
    <xf numFmtId="0" fontId="4" fillId="7" borderId="12" xfId="0" applyFont="1" applyFill="1" applyBorder="1" applyAlignment="1" applyProtection="1">
      <alignment horizontal="center" vertical="center"/>
      <protection locked="0"/>
    </xf>
    <xf numFmtId="0" fontId="4" fillId="7" borderId="12" xfId="0" applyFont="1" applyFill="1" applyBorder="1" applyAlignment="1" applyProtection="1">
      <alignment horizontal="center" vertical="center" wrapText="1"/>
      <protection locked="0"/>
    </xf>
    <xf numFmtId="0" fontId="4" fillId="7" borderId="13"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vertical="center" wrapText="1"/>
      <protection locked="0"/>
    </xf>
    <xf numFmtId="0" fontId="2" fillId="5" borderId="23" xfId="0" applyFont="1" applyFill="1" applyBorder="1" applyAlignment="1" applyProtection="1">
      <alignment horizontal="center" vertical="center" wrapText="1"/>
      <protection locked="0"/>
    </xf>
    <xf numFmtId="0" fontId="5" fillId="5" borderId="7" xfId="0" applyFont="1" applyFill="1" applyBorder="1" applyAlignment="1">
      <alignment horizontal="center" vertical="center" wrapText="1"/>
    </xf>
    <xf numFmtId="0" fontId="5" fillId="5" borderId="1" xfId="0" applyFont="1" applyFill="1" applyBorder="1" applyAlignment="1">
      <alignment horizontal="center" vertical="center" wrapText="1"/>
    </xf>
    <xf numFmtId="179" fontId="4" fillId="6" borderId="22" xfId="0" applyNumberFormat="1" applyFont="1" applyFill="1" applyBorder="1" applyAlignment="1">
      <alignment horizontal="center" vertical="center" wrapText="1"/>
    </xf>
    <xf numFmtId="179" fontId="4" fillId="6" borderId="23" xfId="0" applyNumberFormat="1" applyFont="1" applyFill="1" applyBorder="1" applyAlignment="1">
      <alignment horizontal="center" vertical="center" wrapText="1"/>
    </xf>
    <xf numFmtId="49" fontId="79" fillId="0" borderId="0" xfId="0" applyNumberFormat="1" applyFont="1" applyAlignment="1">
      <alignment horizontal="center" vertical="center" shrinkToFit="1"/>
    </xf>
    <xf numFmtId="0" fontId="4" fillId="5" borderId="20" xfId="0" applyFont="1" applyFill="1" applyBorder="1" applyAlignment="1">
      <alignment horizontal="center" vertical="center" wrapText="1"/>
    </xf>
    <xf numFmtId="0" fontId="44" fillId="5" borderId="21" xfId="0" applyFont="1" applyFill="1" applyBorder="1" applyAlignment="1">
      <alignment horizontal="center" vertical="center" wrapText="1"/>
    </xf>
    <xf numFmtId="0" fontId="44" fillId="5" borderId="8" xfId="0" applyFont="1" applyFill="1" applyBorder="1" applyAlignment="1">
      <alignment horizontal="center" vertical="center" wrapText="1"/>
    </xf>
    <xf numFmtId="177" fontId="4" fillId="7" borderId="20" xfId="0" applyNumberFormat="1" applyFont="1" applyFill="1" applyBorder="1" applyAlignment="1" applyProtection="1">
      <alignment horizontal="center" vertical="center" wrapText="1"/>
      <protection locked="0"/>
    </xf>
    <xf numFmtId="177" fontId="44" fillId="7" borderId="8" xfId="0" applyNumberFormat="1" applyFont="1" applyFill="1" applyBorder="1" applyAlignment="1" applyProtection="1">
      <alignment horizontal="center" vertical="center" wrapText="1"/>
      <protection locked="0"/>
    </xf>
    <xf numFmtId="177" fontId="4" fillId="6" borderId="24" xfId="0" applyNumberFormat="1" applyFont="1" applyFill="1" applyBorder="1" applyAlignment="1">
      <alignment horizontal="center" vertical="center" wrapText="1"/>
    </xf>
    <xf numFmtId="177" fontId="4" fillId="6" borderId="22" xfId="0" applyNumberFormat="1" applyFont="1" applyFill="1" applyBorder="1" applyAlignment="1">
      <alignment horizontal="center" vertical="center" wrapText="1"/>
    </xf>
    <xf numFmtId="0" fontId="4" fillId="0" borderId="22" xfId="0" applyFont="1" applyBorder="1" applyAlignment="1">
      <alignment horizontal="center" vertical="center" wrapText="1"/>
    </xf>
    <xf numFmtId="0" fontId="4" fillId="7" borderId="22" xfId="0" applyFont="1" applyFill="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6" borderId="15" xfId="0" applyFont="1" applyFill="1" applyBorder="1" applyAlignment="1">
      <alignment horizontal="center" vertical="center" wrapText="1"/>
    </xf>
    <xf numFmtId="0" fontId="0" fillId="0" borderId="4" xfId="0" applyBorder="1">
      <alignment vertical="center"/>
    </xf>
    <xf numFmtId="0" fontId="0" fillId="0" borderId="5" xfId="0" applyBorder="1">
      <alignment vertical="center"/>
    </xf>
    <xf numFmtId="0" fontId="4" fillId="6" borderId="13" xfId="0" applyFont="1" applyFill="1"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4" fillId="5" borderId="25" xfId="0" applyFont="1" applyFill="1" applyBorder="1" applyAlignment="1" applyProtection="1">
      <alignment horizontal="center" vertical="center" wrapText="1"/>
      <protection locked="0"/>
    </xf>
    <xf numFmtId="0" fontId="0" fillId="0" borderId="74" xfId="0" applyBorder="1" applyAlignment="1" applyProtection="1">
      <alignment horizontal="center" vertical="center" wrapText="1"/>
      <protection locked="0"/>
    </xf>
    <xf numFmtId="0" fontId="30" fillId="5" borderId="10" xfId="0" applyFont="1" applyFill="1" applyBorder="1" applyAlignment="1">
      <alignment horizontal="center" vertical="center" wrapText="1"/>
    </xf>
    <xf numFmtId="0" fontId="57" fillId="0" borderId="50" xfId="0" applyFont="1" applyBorder="1">
      <alignment vertical="center"/>
    </xf>
    <xf numFmtId="0" fontId="4" fillId="5" borderId="31"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7" borderId="39" xfId="0" applyFont="1" applyFill="1" applyBorder="1" applyAlignment="1" applyProtection="1">
      <alignment horizontal="center" vertical="center" wrapText="1"/>
      <protection locked="0"/>
    </xf>
    <xf numFmtId="0" fontId="4" fillId="7" borderId="45" xfId="0" applyFont="1" applyFill="1" applyBorder="1" applyAlignment="1" applyProtection="1">
      <alignment horizontal="center" vertical="center" wrapText="1"/>
      <protection locked="0"/>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5" xfId="0" applyFont="1" applyBorder="1" applyAlignment="1">
      <alignment horizontal="center" vertical="center" wrapText="1"/>
    </xf>
    <xf numFmtId="0" fontId="62" fillId="5" borderId="3" xfId="0" applyFont="1" applyFill="1" applyBorder="1" applyAlignment="1">
      <alignment horizontal="center" vertical="center" wrapText="1"/>
    </xf>
    <xf numFmtId="0" fontId="62" fillId="5" borderId="4" xfId="0" applyFont="1" applyFill="1" applyBorder="1" applyAlignment="1">
      <alignment horizontal="center" vertical="center" wrapText="1"/>
    </xf>
    <xf numFmtId="0" fontId="62" fillId="5" borderId="5" xfId="0" applyFont="1" applyFill="1" applyBorder="1" applyAlignment="1">
      <alignment horizontal="center" vertical="center" wrapText="1"/>
    </xf>
    <xf numFmtId="0" fontId="4" fillId="5" borderId="10" xfId="0" applyFont="1" applyFill="1"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2" fillId="0" borderId="40" xfId="0" applyFont="1" applyBorder="1" applyAlignment="1">
      <alignment horizontal="center" vertical="center" wrapText="1"/>
    </xf>
    <xf numFmtId="0" fontId="4" fillId="6" borderId="46" xfId="0" applyFont="1"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5" fillId="5" borderId="50"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36" xfId="0" applyFont="1" applyFill="1" applyBorder="1" applyAlignment="1">
      <alignment horizontal="center" vertical="center"/>
    </xf>
    <xf numFmtId="0" fontId="5" fillId="5" borderId="34" xfId="0" applyFont="1" applyFill="1" applyBorder="1" applyAlignment="1">
      <alignment horizontal="center" vertical="center"/>
    </xf>
    <xf numFmtId="0" fontId="4" fillId="5" borderId="3" xfId="0" applyFont="1"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4" fillId="6" borderId="3"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5" borderId="13"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37" xfId="0" applyFont="1" applyFill="1" applyBorder="1" applyAlignment="1">
      <alignment horizontal="center" vertical="center"/>
    </xf>
    <xf numFmtId="0" fontId="4" fillId="6" borderId="30" xfId="0" applyFont="1" applyFill="1" applyBorder="1" applyAlignment="1">
      <alignment horizontal="center" vertical="center" wrapText="1"/>
    </xf>
    <xf numFmtId="0" fontId="4" fillId="5" borderId="79" xfId="0" applyFont="1" applyFill="1" applyBorder="1" applyAlignment="1" applyProtection="1">
      <alignment horizontal="center" vertical="center" wrapText="1"/>
      <protection locked="0"/>
    </xf>
    <xf numFmtId="0" fontId="4" fillId="5" borderId="80" xfId="0" applyFont="1" applyFill="1" applyBorder="1" applyAlignment="1" applyProtection="1">
      <alignment horizontal="center" vertical="center" wrapText="1"/>
      <protection locked="0"/>
    </xf>
    <xf numFmtId="0" fontId="4" fillId="5" borderId="81" xfId="0" applyFont="1" applyFill="1" applyBorder="1" applyAlignment="1" applyProtection="1">
      <alignment horizontal="center" vertical="center" wrapText="1"/>
      <protection locked="0"/>
    </xf>
    <xf numFmtId="0" fontId="0" fillId="6" borderId="4" xfId="0" applyFill="1" applyBorder="1" applyAlignment="1">
      <alignment horizontal="center" vertical="center"/>
    </xf>
    <xf numFmtId="0" fontId="0" fillId="6" borderId="5" xfId="0" applyFill="1" applyBorder="1" applyAlignment="1">
      <alignment horizontal="center" vertical="center"/>
    </xf>
    <xf numFmtId="176" fontId="4" fillId="6" borderId="29" xfId="0" applyNumberFormat="1" applyFont="1" applyFill="1" applyBorder="1" applyAlignment="1">
      <alignment horizontal="center" vertical="center" wrapText="1"/>
    </xf>
    <xf numFmtId="176" fontId="4" fillId="6" borderId="30" xfId="0" applyNumberFormat="1" applyFont="1" applyFill="1" applyBorder="1" applyAlignment="1">
      <alignment horizontal="center" vertical="center" wrapText="1"/>
    </xf>
    <xf numFmtId="176" fontId="4" fillId="6" borderId="48" xfId="0" applyNumberFormat="1" applyFont="1" applyFill="1" applyBorder="1" applyAlignment="1">
      <alignment horizontal="center" vertical="center" wrapText="1"/>
    </xf>
    <xf numFmtId="0" fontId="4" fillId="6" borderId="48" xfId="0" applyFont="1" applyFill="1" applyBorder="1" applyAlignment="1">
      <alignment horizontal="center" vertical="center" wrapText="1"/>
    </xf>
    <xf numFmtId="0" fontId="4" fillId="6" borderId="49" xfId="0" applyFont="1" applyFill="1" applyBorder="1" applyAlignment="1">
      <alignment horizontal="center" vertical="center" wrapText="1"/>
    </xf>
    <xf numFmtId="0" fontId="4" fillId="7" borderId="26" xfId="0" applyFont="1" applyFill="1" applyBorder="1" applyAlignment="1" applyProtection="1">
      <alignment horizontal="center" vertical="center"/>
      <protection locked="0"/>
    </xf>
    <xf numFmtId="0" fontId="4" fillId="7" borderId="14" xfId="0" applyFont="1" applyFill="1" applyBorder="1" applyAlignment="1" applyProtection="1">
      <alignment horizontal="center" vertical="center"/>
      <protection locked="0"/>
    </xf>
    <xf numFmtId="0" fontId="4" fillId="5" borderId="14"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4" fillId="5" borderId="75" xfId="0" applyFont="1" applyFill="1" applyBorder="1" applyAlignment="1" applyProtection="1">
      <alignment horizontal="center" vertical="center" wrapText="1"/>
      <protection locked="0"/>
    </xf>
    <xf numFmtId="176" fontId="4" fillId="6" borderId="12" xfId="0" applyNumberFormat="1" applyFont="1" applyFill="1" applyBorder="1" applyAlignment="1">
      <alignment horizontal="center" vertical="center" wrapText="1"/>
    </xf>
    <xf numFmtId="176" fontId="4" fillId="6" borderId="15" xfId="0" applyNumberFormat="1" applyFont="1" applyFill="1" applyBorder="1" applyAlignment="1">
      <alignment horizontal="center" vertical="center" wrapText="1"/>
    </xf>
    <xf numFmtId="0" fontId="7" fillId="5" borderId="7" xfId="0" applyFont="1" applyFill="1" applyBorder="1" applyAlignment="1">
      <alignment vertical="center" wrapText="1"/>
    </xf>
    <xf numFmtId="0" fontId="7" fillId="5" borderId="1" xfId="0" applyFont="1" applyFill="1" applyBorder="1" applyAlignment="1">
      <alignment vertical="center" wrapText="1"/>
    </xf>
    <xf numFmtId="49" fontId="85" fillId="8" borderId="0" xfId="0" applyNumberFormat="1" applyFont="1" applyFill="1" applyAlignment="1">
      <alignment horizontal="center" vertical="center" shrinkToFit="1"/>
    </xf>
    <xf numFmtId="49" fontId="79" fillId="0" borderId="0" xfId="0" applyNumberFormat="1" applyFont="1" applyAlignment="1">
      <alignment vertical="center" shrinkToFit="1"/>
    </xf>
    <xf numFmtId="0" fontId="4" fillId="5" borderId="2"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17" xfId="0" applyFont="1" applyFill="1" applyBorder="1" applyAlignment="1">
      <alignment horizontal="center" vertical="center" wrapText="1"/>
    </xf>
    <xf numFmtId="0" fontId="4" fillId="5" borderId="19" xfId="0" applyFont="1" applyFill="1" applyBorder="1" applyAlignment="1">
      <alignment horizontal="center" vertical="center" wrapText="1"/>
    </xf>
    <xf numFmtId="176" fontId="4" fillId="6" borderId="22" xfId="0" applyNumberFormat="1" applyFont="1" applyFill="1" applyBorder="1" applyAlignment="1">
      <alignment horizontal="center" vertical="center" wrapText="1"/>
    </xf>
    <xf numFmtId="176" fontId="4" fillId="6" borderId="23"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7" borderId="32" xfId="0" applyFont="1" applyFill="1" applyBorder="1" applyAlignment="1" applyProtection="1">
      <alignment horizontal="center" vertical="center"/>
      <protection locked="0"/>
    </xf>
    <xf numFmtId="0" fontId="4" fillId="7" borderId="33" xfId="0" applyFont="1" applyFill="1" applyBorder="1" applyAlignment="1" applyProtection="1">
      <alignment horizontal="center" vertical="center"/>
      <protection locked="0"/>
    </xf>
    <xf numFmtId="0" fontId="4" fillId="6" borderId="23" xfId="0" applyFont="1" applyFill="1" applyBorder="1" applyAlignment="1">
      <alignment horizontal="center" vertical="center" wrapText="1"/>
    </xf>
    <xf numFmtId="0" fontId="4" fillId="5" borderId="76" xfId="0" applyFont="1" applyFill="1" applyBorder="1" applyAlignment="1" applyProtection="1">
      <alignment horizontal="center" vertical="center" wrapText="1"/>
      <protection locked="0"/>
    </xf>
    <xf numFmtId="0" fontId="4" fillId="5" borderId="77" xfId="0" applyFont="1" applyFill="1" applyBorder="1" applyAlignment="1" applyProtection="1">
      <alignment horizontal="center" vertical="center" wrapText="1"/>
      <protection locked="0"/>
    </xf>
    <xf numFmtId="0" fontId="4" fillId="5" borderId="78" xfId="0" applyFont="1" applyFill="1" applyBorder="1" applyAlignment="1" applyProtection="1">
      <alignment horizontal="center" vertical="center" wrapText="1"/>
      <protection locked="0"/>
    </xf>
    <xf numFmtId="0" fontId="57" fillId="0" borderId="85" xfId="0" applyFont="1" applyBorder="1" applyAlignment="1">
      <alignment horizontal="left" vertical="top" wrapText="1"/>
    </xf>
    <xf numFmtId="0" fontId="57" fillId="0" borderId="86" xfId="0" applyFont="1" applyBorder="1" applyAlignment="1">
      <alignment horizontal="left" vertical="top" wrapText="1"/>
    </xf>
    <xf numFmtId="0" fontId="57" fillId="0" borderId="87" xfId="0" applyFont="1" applyBorder="1" applyAlignment="1">
      <alignment horizontal="left" vertical="top" wrapText="1"/>
    </xf>
    <xf numFmtId="0" fontId="57" fillId="0" borderId="19" xfId="0" applyFont="1" applyBorder="1" applyAlignment="1">
      <alignment horizontal="left" vertical="top" wrapText="1"/>
    </xf>
    <xf numFmtId="0" fontId="57" fillId="0" borderId="0" xfId="0" applyFont="1" applyAlignment="1">
      <alignment horizontal="left" vertical="top" wrapText="1"/>
    </xf>
    <xf numFmtId="0" fontId="57" fillId="0" borderId="17" xfId="0" applyFont="1" applyBorder="1" applyAlignment="1">
      <alignment horizontal="left" vertical="top" wrapText="1"/>
    </xf>
    <xf numFmtId="0" fontId="57" fillId="0" borderId="34" xfId="0" applyFont="1" applyBorder="1" applyAlignment="1">
      <alignment horizontal="left" vertical="top" wrapText="1"/>
    </xf>
    <xf numFmtId="0" fontId="57" fillId="0" borderId="35" xfId="0" applyFont="1" applyBorder="1" applyAlignment="1">
      <alignment horizontal="left" vertical="top" wrapText="1"/>
    </xf>
    <xf numFmtId="0" fontId="57" fillId="0" borderId="36" xfId="0" applyFont="1" applyBorder="1" applyAlignment="1">
      <alignment horizontal="left" vertical="top" wrapText="1"/>
    </xf>
  </cellXfs>
  <cellStyles count="1">
    <cellStyle name="標準" xfId="0" builtinId="0"/>
  </cellStyles>
  <dxfs count="60">
    <dxf>
      <font>
        <color rgb="FFFFC000"/>
      </font>
      <fill>
        <patternFill>
          <bgColor rgb="FFFFC000"/>
        </patternFill>
      </fill>
      <border>
        <left/>
        <right/>
        <top/>
        <bottom/>
        <vertical/>
        <horizontal/>
      </border>
    </dxf>
    <dxf>
      <font>
        <color rgb="FFFFC000"/>
      </font>
      <fill>
        <patternFill>
          <bgColor rgb="FFFFC000"/>
        </patternFill>
      </fill>
      <border>
        <left/>
        <right/>
        <top/>
        <bottom/>
        <vertical/>
        <horizontal/>
      </border>
    </dxf>
    <dxf>
      <font>
        <b/>
        <i val="0"/>
        <color rgb="FF0070C0"/>
      </font>
      <fill>
        <patternFill>
          <bgColor rgb="FFFFC000"/>
        </patternFill>
      </fill>
      <border>
        <left/>
        <right/>
        <top/>
        <bottom/>
      </border>
    </dxf>
    <dxf>
      <font>
        <color rgb="FFFFC000"/>
      </font>
      <fill>
        <patternFill>
          <bgColor rgb="FFFFC000"/>
        </patternFill>
      </fill>
      <border>
        <left/>
        <right/>
        <top/>
        <bottom/>
      </border>
    </dxf>
    <dxf>
      <font>
        <strike val="0"/>
        <color rgb="FFFFC000"/>
        <name val="ＭＳ Ｐゴシック"/>
        <family val="3"/>
        <charset val="128"/>
        <scheme val="none"/>
      </font>
      <fill>
        <patternFill>
          <bgColor rgb="FFFFC000"/>
        </patternFill>
      </fill>
      <border>
        <left/>
        <right/>
        <top/>
        <bottom/>
      </border>
    </dxf>
    <dxf>
      <font>
        <color rgb="FFFFC000"/>
      </font>
      <fill>
        <patternFill>
          <bgColor rgb="FFFFC000"/>
        </patternFill>
      </fill>
      <border>
        <left/>
        <right/>
        <top/>
        <bottom/>
      </border>
    </dxf>
    <dxf>
      <font>
        <color rgb="FFFFC000"/>
      </font>
      <fill>
        <patternFill>
          <bgColor rgb="FFFFC000"/>
        </patternFill>
      </fill>
      <border>
        <left/>
        <right/>
        <top/>
        <bottom/>
        <vertical/>
        <horizontal/>
      </border>
    </dxf>
    <dxf>
      <font>
        <color rgb="FFFFC000"/>
      </font>
      <fill>
        <patternFill>
          <bgColor rgb="FFFFC000"/>
        </patternFill>
      </fill>
      <border>
        <left/>
        <right/>
        <top/>
        <bottom/>
      </border>
    </dxf>
    <dxf>
      <font>
        <b/>
        <i val="0"/>
        <color rgb="FF0070C0"/>
      </font>
      <fill>
        <patternFill>
          <bgColor rgb="FFFFC000"/>
        </patternFill>
      </fill>
      <border>
        <left/>
        <right/>
        <top/>
        <bottom/>
      </border>
    </dxf>
    <dxf>
      <font>
        <color rgb="FFFFC000"/>
      </font>
      <fill>
        <patternFill>
          <bgColor rgb="FFFFC000"/>
        </patternFill>
      </fill>
      <border>
        <left/>
        <right/>
        <top/>
        <bottom/>
      </border>
    </dxf>
    <dxf>
      <font>
        <color rgb="FFFFC000"/>
      </font>
      <fill>
        <patternFill>
          <bgColor rgb="FFFFC000"/>
        </patternFill>
      </fill>
      <border>
        <left/>
        <right/>
        <top/>
        <bottom/>
      </border>
    </dxf>
    <dxf>
      <font>
        <b/>
        <i val="0"/>
      </font>
      <fill>
        <patternFill>
          <bgColor rgb="FF66FF66"/>
        </patternFill>
      </fill>
    </dxf>
    <dxf>
      <font>
        <b/>
        <i val="0"/>
      </font>
    </dxf>
    <dxf>
      <font>
        <b/>
        <i val="0"/>
      </font>
      <fill>
        <patternFill>
          <bgColor rgb="FF66FF66"/>
        </patternFill>
      </fill>
    </dxf>
    <dxf>
      <font>
        <b/>
        <i val="0"/>
      </font>
    </dxf>
    <dxf>
      <font>
        <b/>
        <i val="0"/>
      </font>
      <fill>
        <patternFill>
          <bgColor rgb="FF66FF66"/>
        </patternFill>
      </fill>
    </dxf>
    <dxf>
      <font>
        <b/>
        <i val="0"/>
      </font>
    </dxf>
    <dxf>
      <font>
        <b/>
        <i val="0"/>
      </font>
      <fill>
        <patternFill>
          <bgColor rgb="FF66FF66"/>
        </patternFill>
      </fill>
    </dxf>
    <dxf>
      <font>
        <b/>
        <i val="0"/>
      </font>
    </dxf>
    <dxf>
      <font>
        <color rgb="FFFFC000"/>
        <name val="ＭＳ Ｐゴシック"/>
        <family val="3"/>
        <charset val="128"/>
        <scheme val="none"/>
      </font>
      <fill>
        <patternFill>
          <bgColor rgb="FFFFC000"/>
        </patternFill>
      </fill>
      <border>
        <left/>
        <right/>
        <top/>
        <bottom/>
      </border>
    </dxf>
    <dxf>
      <font>
        <color rgb="FFFFC000"/>
      </font>
      <fill>
        <patternFill>
          <bgColor rgb="FFFFC000"/>
        </patternFill>
      </fill>
      <border>
        <left/>
        <right/>
        <top/>
        <bottom/>
        <vertical/>
        <horizontal/>
      </border>
    </dxf>
    <dxf>
      <font>
        <color rgb="FFFFC000"/>
      </font>
      <fill>
        <patternFill>
          <bgColor rgb="FFFFC000"/>
        </patternFill>
      </fill>
      <border>
        <left/>
        <right/>
        <top/>
        <bottom/>
        <vertical/>
        <horizontal/>
      </border>
    </dxf>
    <dxf>
      <font>
        <color rgb="FFFFC000"/>
      </font>
      <fill>
        <patternFill>
          <bgColor rgb="FFFFC000"/>
        </patternFill>
      </fill>
      <border>
        <left/>
        <right/>
        <top/>
        <bottom/>
      </border>
    </dxf>
    <dxf>
      <font>
        <b/>
        <i val="0"/>
        <strike val="0"/>
        <color rgb="FF0070C0"/>
        <name val="ＭＳ Ｐゴシック"/>
        <family val="3"/>
        <charset val="128"/>
        <scheme val="none"/>
      </font>
      <fill>
        <patternFill>
          <bgColor rgb="FFFFC000"/>
        </patternFill>
      </fill>
      <border>
        <left/>
        <right/>
        <top/>
        <bottom/>
      </border>
    </dxf>
    <dxf>
      <font>
        <color rgb="FFFFC000"/>
      </font>
      <fill>
        <patternFill>
          <bgColor rgb="FFFFC000"/>
        </patternFill>
      </fill>
      <border>
        <left/>
        <right/>
        <top/>
        <bottom/>
      </border>
    </dxf>
    <dxf>
      <font>
        <color rgb="FFFFC000"/>
      </font>
      <fill>
        <patternFill>
          <bgColor rgb="FFFFC000"/>
        </patternFill>
      </fill>
      <border>
        <left/>
        <right/>
        <top/>
        <bottom/>
      </border>
    </dxf>
    <dxf>
      <font>
        <b/>
        <i val="0"/>
      </font>
    </dxf>
    <dxf>
      <font>
        <b/>
        <i val="0"/>
      </font>
      <fill>
        <patternFill>
          <bgColor rgb="FF66FF66"/>
        </patternFill>
      </fill>
    </dxf>
    <dxf>
      <font>
        <b/>
        <i val="0"/>
      </font>
    </dxf>
    <dxf>
      <font>
        <b/>
        <i val="0"/>
      </font>
      <fill>
        <patternFill>
          <bgColor rgb="FF66FF66"/>
        </patternFill>
      </fill>
    </dxf>
    <dxf>
      <font>
        <b val="0"/>
        <i val="0"/>
      </font>
      <fill>
        <patternFill>
          <bgColor rgb="FFFFFF99"/>
        </patternFill>
      </fill>
    </dxf>
    <dxf>
      <font>
        <b/>
        <i val="0"/>
      </font>
    </dxf>
    <dxf>
      <font>
        <b/>
        <i val="0"/>
      </font>
      <fill>
        <patternFill>
          <bgColor rgb="FF66FF66"/>
        </patternFill>
      </fill>
    </dxf>
    <dxf>
      <font>
        <color rgb="FFFFC000"/>
      </font>
      <fill>
        <patternFill>
          <bgColor rgb="FFFFC000"/>
        </patternFill>
      </fill>
      <border>
        <left/>
        <right/>
        <top/>
        <bottom/>
        <vertical/>
        <horizontal/>
      </border>
    </dxf>
    <dxf>
      <font>
        <color rgb="FFFFC000"/>
      </font>
      <fill>
        <patternFill>
          <bgColor rgb="FFFFC000"/>
        </patternFill>
      </fill>
      <border>
        <left/>
        <right/>
        <top/>
        <bottom/>
      </border>
    </dxf>
    <dxf>
      <font>
        <color rgb="FFFFC000"/>
      </font>
      <fill>
        <patternFill>
          <bgColor rgb="FFFFC000"/>
        </patternFill>
      </fill>
      <border>
        <left/>
        <right/>
        <top/>
        <bottom/>
        <vertical/>
        <horizontal/>
      </border>
    </dxf>
    <dxf>
      <font>
        <color rgb="FFFFC000"/>
      </font>
      <fill>
        <patternFill>
          <bgColor rgb="FFFFC000"/>
        </patternFill>
      </fill>
      <border>
        <left/>
        <right/>
        <top/>
        <bottom/>
        <vertical/>
        <horizontal/>
      </border>
    </dxf>
    <dxf>
      <fill>
        <patternFill>
          <bgColor rgb="FFFFC000"/>
        </patternFill>
      </fill>
      <border>
        <left/>
        <right/>
        <top/>
        <bottom/>
        <vertical/>
        <horizontal/>
      </border>
    </dxf>
    <dxf>
      <font>
        <color rgb="FFFFC000"/>
      </font>
      <fill>
        <patternFill>
          <bgColor rgb="FFFFC000"/>
        </patternFill>
      </fill>
      <border>
        <left/>
        <right/>
        <top/>
        <bottom/>
        <vertical/>
        <horizontal/>
      </border>
    </dxf>
    <dxf>
      <font>
        <color rgb="FFFFC000"/>
      </font>
      <fill>
        <patternFill>
          <bgColor rgb="FFFFC000"/>
        </patternFill>
      </fill>
      <border>
        <left/>
        <right/>
        <top/>
        <bottom/>
        <vertical/>
        <horizontal/>
      </border>
    </dxf>
    <dxf>
      <font>
        <b/>
        <i val="0"/>
        <strike val="0"/>
        <color rgb="FF0070C0"/>
        <name val="ＭＳ Ｐゴシック"/>
        <family val="3"/>
        <charset val="128"/>
        <scheme val="none"/>
      </font>
      <fill>
        <patternFill>
          <bgColor rgb="FFFFC000"/>
        </patternFill>
      </fill>
      <border>
        <left/>
        <right/>
        <top/>
        <bottom/>
      </border>
    </dxf>
    <dxf>
      <font>
        <b/>
        <i val="0"/>
      </font>
      <fill>
        <patternFill>
          <bgColor rgb="FF66FF66"/>
        </patternFill>
      </fill>
    </dxf>
    <dxf>
      <font>
        <b/>
        <i val="0"/>
      </font>
    </dxf>
    <dxf>
      <font>
        <b val="0"/>
        <i val="0"/>
      </font>
      <fill>
        <patternFill>
          <bgColor rgb="FFFFFF99"/>
        </patternFill>
      </fill>
    </dxf>
    <dxf>
      <font>
        <b/>
        <i val="0"/>
      </font>
      <fill>
        <patternFill>
          <bgColor rgb="FF66FF66"/>
        </patternFill>
      </fill>
    </dxf>
    <dxf>
      <font>
        <b/>
        <i val="0"/>
      </font>
    </dxf>
    <dxf>
      <font>
        <color rgb="FFFFC000"/>
      </font>
      <fill>
        <patternFill>
          <bgColor rgb="FFFFC000"/>
        </patternFill>
      </fill>
      <border>
        <left/>
        <right/>
        <top/>
        <bottom/>
      </border>
    </dxf>
    <dxf>
      <font>
        <color rgb="FFFFC000"/>
      </font>
      <fill>
        <patternFill>
          <bgColor rgb="FFFFC000"/>
        </patternFill>
      </fill>
      <border>
        <left/>
        <right/>
        <top/>
        <bottom/>
        <vertical/>
        <horizontal/>
      </border>
    </dxf>
    <dxf>
      <font>
        <color rgb="FFFFC000"/>
      </font>
      <fill>
        <patternFill>
          <bgColor rgb="FFFFC000"/>
        </patternFill>
      </fill>
      <border>
        <left/>
        <right/>
        <top/>
        <bottom/>
      </border>
    </dxf>
    <dxf>
      <font>
        <color rgb="FF0070C0"/>
      </font>
      <fill>
        <patternFill>
          <bgColor rgb="FFFFC000"/>
        </patternFill>
      </fill>
      <border>
        <left/>
        <right/>
        <top/>
        <bottom/>
      </border>
    </dxf>
    <dxf>
      <font>
        <color rgb="FFFFC000"/>
      </font>
      <fill>
        <patternFill>
          <bgColor rgb="FFFFC000"/>
        </patternFill>
      </fill>
      <border>
        <left/>
        <right/>
        <top/>
        <bottom/>
      </border>
    </dxf>
    <dxf>
      <font>
        <color rgb="FFFFC000"/>
      </font>
      <fill>
        <patternFill>
          <bgColor rgb="FFFFC000"/>
        </patternFill>
      </fill>
      <border>
        <left/>
        <right/>
        <top/>
        <bottom/>
      </border>
    </dxf>
    <dxf>
      <font>
        <b/>
        <i val="0"/>
      </font>
      <fill>
        <patternFill>
          <bgColor rgb="FF66FF66"/>
        </patternFill>
      </fill>
    </dxf>
    <dxf>
      <font>
        <b/>
        <i val="0"/>
      </font>
    </dxf>
    <dxf>
      <font>
        <b/>
        <i val="0"/>
      </font>
      <fill>
        <patternFill>
          <bgColor rgb="FF66FF66"/>
        </patternFill>
      </fill>
    </dxf>
    <dxf>
      <font>
        <b/>
        <i val="0"/>
      </font>
    </dxf>
    <dxf>
      <font>
        <b/>
        <i val="0"/>
        <color rgb="FFFFFF00"/>
      </font>
      <fill>
        <patternFill>
          <bgColor rgb="FF00B0F0"/>
        </patternFill>
      </fill>
    </dxf>
    <dxf>
      <font>
        <b/>
        <i val="0"/>
        <color rgb="FF00B0F0"/>
      </font>
    </dxf>
    <dxf>
      <font>
        <b/>
        <i val="0"/>
        <color rgb="FF0070C0"/>
      </font>
      <fill>
        <patternFill>
          <bgColor rgb="FFFFC000"/>
        </patternFill>
      </fill>
      <border>
        <left/>
        <right/>
        <top/>
        <bottom/>
      </border>
    </dxf>
    <dxf>
      <font>
        <b/>
        <i val="0"/>
        <color rgb="FF0070C0"/>
      </font>
      <fill>
        <patternFill>
          <bgColor rgb="FFFFC000"/>
        </patternFill>
      </fill>
      <border>
        <left/>
        <right/>
        <top/>
        <bottom/>
      </border>
    </dxf>
  </dxfs>
  <tableStyles count="0" defaultTableStyle="TableStyleMedium2" defaultPivotStyle="PivotStyleLight16"/>
  <colors>
    <mruColors>
      <color rgb="FFFFFF99"/>
      <color rgb="FF66FF66"/>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19050</xdr:colOff>
      <xdr:row>1</xdr:row>
      <xdr:rowOff>107950</xdr:rowOff>
    </xdr:from>
    <xdr:to>
      <xdr:col>13</xdr:col>
      <xdr:colOff>412750</xdr:colOff>
      <xdr:row>3</xdr:row>
      <xdr:rowOff>57150</xdr:rowOff>
    </xdr:to>
    <xdr:pic>
      <xdr:nvPicPr>
        <xdr:cNvPr id="1049" name="図 2" descr="jeita3.psd">
          <a:extLst>
            <a:ext uri="{FF2B5EF4-FFF2-40B4-BE49-F238E27FC236}">
              <a16:creationId xmlns:a16="http://schemas.microsoft.com/office/drawing/2014/main" id="{5ED8457C-C273-E1CE-4478-8C97329E2F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0450" y="285750"/>
          <a:ext cx="120650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211666</xdr:colOff>
      <xdr:row>8</xdr:row>
      <xdr:rowOff>117827</xdr:rowOff>
    </xdr:from>
    <xdr:to>
      <xdr:col>31</xdr:col>
      <xdr:colOff>28222</xdr:colOff>
      <xdr:row>11</xdr:row>
      <xdr:rowOff>35277</xdr:rowOff>
    </xdr:to>
    <xdr:sp macro="" textlink="">
      <xdr:nvSpPr>
        <xdr:cNvPr id="5" name="右矢印 4">
          <a:extLst>
            <a:ext uri="{FF2B5EF4-FFF2-40B4-BE49-F238E27FC236}">
              <a16:creationId xmlns:a16="http://schemas.microsoft.com/office/drawing/2014/main" id="{FDFFAF7A-8BAA-8DD7-1379-A4D2BE70F65C}"/>
            </a:ext>
          </a:extLst>
        </xdr:cNvPr>
        <xdr:cNvSpPr/>
      </xdr:nvSpPr>
      <xdr:spPr>
        <a:xfrm>
          <a:off x="7309555" y="1514827"/>
          <a:ext cx="310445" cy="383117"/>
        </a:xfrm>
        <a:prstGeom prst="rightArrow">
          <a:avLst>
            <a:gd name="adj1" fmla="val 50000"/>
            <a:gd name="adj2" fmla="val 47353"/>
          </a:avLst>
        </a:prstGeom>
        <a:solidFill>
          <a:srgbClr val="00B0F0"/>
        </a:solidFill>
        <a:ln w="158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44450</xdr:colOff>
      <xdr:row>32</xdr:row>
      <xdr:rowOff>152004</xdr:rowOff>
    </xdr:from>
    <xdr:to>
      <xdr:col>22</xdr:col>
      <xdr:colOff>223402</xdr:colOff>
      <xdr:row>32</xdr:row>
      <xdr:rowOff>152005</xdr:rowOff>
    </xdr:to>
    <xdr:cxnSp macro="">
      <xdr:nvCxnSpPr>
        <xdr:cNvPr id="8" name="直線矢印コネクタ 7">
          <a:extLst>
            <a:ext uri="{FF2B5EF4-FFF2-40B4-BE49-F238E27FC236}">
              <a16:creationId xmlns:a16="http://schemas.microsoft.com/office/drawing/2014/main" id="{8F8301DD-FAAE-21A5-6DAF-5CC9556A044B}"/>
            </a:ext>
          </a:extLst>
        </xdr:cNvPr>
        <xdr:cNvCxnSpPr/>
      </xdr:nvCxnSpPr>
      <xdr:spPr>
        <a:xfrm>
          <a:off x="5181600" y="5035154"/>
          <a:ext cx="426602" cy="1"/>
        </a:xfrm>
        <a:prstGeom prst="straightConnector1">
          <a:avLst/>
        </a:prstGeom>
        <a:ln w="38100">
          <a:solidFill>
            <a:srgbClr val="00B0F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20</xdr:row>
      <xdr:rowOff>63500</xdr:rowOff>
    </xdr:from>
    <xdr:to>
      <xdr:col>25</xdr:col>
      <xdr:colOff>6350</xdr:colOff>
      <xdr:row>22</xdr:row>
      <xdr:rowOff>111234</xdr:rowOff>
    </xdr:to>
    <xdr:cxnSp macro="">
      <xdr:nvCxnSpPr>
        <xdr:cNvPr id="9" name="直線矢印コネクタ 8">
          <a:extLst>
            <a:ext uri="{FF2B5EF4-FFF2-40B4-BE49-F238E27FC236}">
              <a16:creationId xmlns:a16="http://schemas.microsoft.com/office/drawing/2014/main" id="{CD58849C-8655-66ED-B1A2-0251B9962E50}"/>
            </a:ext>
          </a:extLst>
        </xdr:cNvPr>
        <xdr:cNvCxnSpPr/>
      </xdr:nvCxnSpPr>
      <xdr:spPr>
        <a:xfrm flipH="1">
          <a:off x="6127750" y="3206750"/>
          <a:ext cx="6350" cy="263634"/>
        </a:xfrm>
        <a:prstGeom prst="straightConnector1">
          <a:avLst/>
        </a:prstGeom>
        <a:ln w="38100">
          <a:solidFill>
            <a:srgbClr val="00B0F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3175</xdr:colOff>
      <xdr:row>17</xdr:row>
      <xdr:rowOff>49388</xdr:rowOff>
    </xdr:from>
    <xdr:to>
      <xdr:col>43</xdr:col>
      <xdr:colOff>105833</xdr:colOff>
      <xdr:row>20</xdr:row>
      <xdr:rowOff>79374</xdr:rowOff>
    </xdr:to>
    <xdr:sp macro="" textlink="">
      <xdr:nvSpPr>
        <xdr:cNvPr id="12" name="フリーフォーム 11">
          <a:extLst>
            <a:ext uri="{FF2B5EF4-FFF2-40B4-BE49-F238E27FC236}">
              <a16:creationId xmlns:a16="http://schemas.microsoft.com/office/drawing/2014/main" id="{AACEF59C-2F70-8A6D-59B8-7DF9DA25C747}"/>
            </a:ext>
          </a:extLst>
        </xdr:cNvPr>
        <xdr:cNvSpPr/>
      </xdr:nvSpPr>
      <xdr:spPr>
        <a:xfrm>
          <a:off x="9076619" y="2843388"/>
          <a:ext cx="1584325" cy="425097"/>
        </a:xfrm>
        <a:custGeom>
          <a:avLst/>
          <a:gdLst>
            <a:gd name="connsiteX0" fmla="*/ 895350 w 895350"/>
            <a:gd name="connsiteY0" fmla="*/ 0 h 533400"/>
            <a:gd name="connsiteX1" fmla="*/ 895350 w 895350"/>
            <a:gd name="connsiteY1" fmla="*/ 533400 h 533400"/>
            <a:gd name="connsiteX2" fmla="*/ 0 w 895350"/>
            <a:gd name="connsiteY2" fmla="*/ 533400 h 533400"/>
          </a:gdLst>
          <a:ahLst/>
          <a:cxnLst>
            <a:cxn ang="0">
              <a:pos x="connsiteX0" y="connsiteY0"/>
            </a:cxn>
            <a:cxn ang="0">
              <a:pos x="connsiteX1" y="connsiteY1"/>
            </a:cxn>
            <a:cxn ang="0">
              <a:pos x="connsiteX2" y="connsiteY2"/>
            </a:cxn>
          </a:cxnLst>
          <a:rect l="l" t="t" r="r" b="b"/>
          <a:pathLst>
            <a:path w="895350" h="533400">
              <a:moveTo>
                <a:pt x="895350" y="0"/>
              </a:moveTo>
              <a:lnTo>
                <a:pt x="895350" y="533400"/>
              </a:lnTo>
              <a:lnTo>
                <a:pt x="0" y="533400"/>
              </a:lnTo>
            </a:path>
          </a:pathLst>
        </a:custGeom>
        <a:noFill/>
        <a:ln w="38100">
          <a:solidFill>
            <a:srgbClr val="00B0F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C</a:t>
          </a:r>
          <a:endParaRPr kumimoji="1" lang="ja-JP" altLang="en-US" sz="1100"/>
        </a:p>
      </xdr:txBody>
    </xdr:sp>
    <xdr:clientData/>
  </xdr:twoCellAnchor>
  <xdr:twoCellAnchor>
    <xdr:from>
      <xdr:col>21</xdr:col>
      <xdr:colOff>28220</xdr:colOff>
      <xdr:row>19</xdr:row>
      <xdr:rowOff>70555</xdr:rowOff>
    </xdr:from>
    <xdr:to>
      <xdr:col>21</xdr:col>
      <xdr:colOff>211665</xdr:colOff>
      <xdr:row>27</xdr:row>
      <xdr:rowOff>63500</xdr:rowOff>
    </xdr:to>
    <xdr:sp macro="" textlink="">
      <xdr:nvSpPr>
        <xdr:cNvPr id="2" name="右中かっこ 1">
          <a:extLst>
            <a:ext uri="{FF2B5EF4-FFF2-40B4-BE49-F238E27FC236}">
              <a16:creationId xmlns:a16="http://schemas.microsoft.com/office/drawing/2014/main" id="{1E59D9A3-48D8-000E-B97E-863B29E5F9B9}"/>
            </a:ext>
          </a:extLst>
        </xdr:cNvPr>
        <xdr:cNvSpPr/>
      </xdr:nvSpPr>
      <xdr:spPr>
        <a:xfrm>
          <a:off x="5150553" y="3104444"/>
          <a:ext cx="183445" cy="1143000"/>
        </a:xfrm>
        <a:prstGeom prst="rightBrace">
          <a:avLst>
            <a:gd name="adj1" fmla="val 30208"/>
            <a:gd name="adj2" fmla="val 48148"/>
          </a:avLst>
        </a:prstGeom>
        <a:ln w="25400">
          <a:solidFill>
            <a:srgbClr val="00B0F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197556</xdr:colOff>
      <xdr:row>15</xdr:row>
      <xdr:rowOff>148166</xdr:rowOff>
    </xdr:from>
    <xdr:to>
      <xdr:col>33</xdr:col>
      <xdr:colOff>141111</xdr:colOff>
      <xdr:row>23</xdr:row>
      <xdr:rowOff>84666</xdr:rowOff>
    </xdr:to>
    <xdr:sp macro="" textlink="">
      <xdr:nvSpPr>
        <xdr:cNvPr id="7" name="フリーフォーム: 図形 6">
          <a:extLst>
            <a:ext uri="{FF2B5EF4-FFF2-40B4-BE49-F238E27FC236}">
              <a16:creationId xmlns:a16="http://schemas.microsoft.com/office/drawing/2014/main" id="{AD94B2C8-6E9D-2EC5-2A72-AFF7A1C8A6F9}"/>
            </a:ext>
          </a:extLst>
        </xdr:cNvPr>
        <xdr:cNvSpPr/>
      </xdr:nvSpPr>
      <xdr:spPr>
        <a:xfrm>
          <a:off x="5319889" y="2631722"/>
          <a:ext cx="2906889" cy="1016000"/>
        </a:xfrm>
        <a:custGeom>
          <a:avLst/>
          <a:gdLst>
            <a:gd name="connsiteX0" fmla="*/ 0 w 2906889"/>
            <a:gd name="connsiteY0" fmla="*/ 1016000 h 1016000"/>
            <a:gd name="connsiteX1" fmla="*/ 127000 w 2906889"/>
            <a:gd name="connsiteY1" fmla="*/ 1016000 h 1016000"/>
            <a:gd name="connsiteX2" fmla="*/ 127000 w 2906889"/>
            <a:gd name="connsiteY2" fmla="*/ 169334 h 1016000"/>
            <a:gd name="connsiteX3" fmla="*/ 2906889 w 2906889"/>
            <a:gd name="connsiteY3" fmla="*/ 169334 h 1016000"/>
            <a:gd name="connsiteX4" fmla="*/ 2906889 w 2906889"/>
            <a:gd name="connsiteY4" fmla="*/ 0 h 1016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906889" h="1016000">
              <a:moveTo>
                <a:pt x="0" y="1016000"/>
              </a:moveTo>
              <a:lnTo>
                <a:pt x="127000" y="1016000"/>
              </a:lnTo>
              <a:lnTo>
                <a:pt x="127000" y="169334"/>
              </a:lnTo>
              <a:lnTo>
                <a:pt x="2906889" y="169334"/>
              </a:lnTo>
              <a:lnTo>
                <a:pt x="2906889" y="0"/>
              </a:lnTo>
            </a:path>
          </a:pathLst>
        </a:custGeom>
        <a:noFill/>
        <a:ln w="34925">
          <a:solidFill>
            <a:srgbClr val="00B0F0"/>
          </a:solidFill>
          <a:headEnd w="med" len="lg"/>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62287</xdr:colOff>
      <xdr:row>33</xdr:row>
      <xdr:rowOff>144510</xdr:rowOff>
    </xdr:from>
    <xdr:to>
      <xdr:col>22</xdr:col>
      <xdr:colOff>222187</xdr:colOff>
      <xdr:row>33</xdr:row>
      <xdr:rowOff>144511</xdr:rowOff>
    </xdr:to>
    <xdr:cxnSp macro="">
      <xdr:nvCxnSpPr>
        <xdr:cNvPr id="13" name="直線矢印コネクタ 12">
          <a:extLst>
            <a:ext uri="{FF2B5EF4-FFF2-40B4-BE49-F238E27FC236}">
              <a16:creationId xmlns:a16="http://schemas.microsoft.com/office/drawing/2014/main" id="{AFBD9F28-59EF-FECB-DF1E-75E1A9006DC8}"/>
            </a:ext>
          </a:extLst>
        </xdr:cNvPr>
        <xdr:cNvCxnSpPr/>
      </xdr:nvCxnSpPr>
      <xdr:spPr>
        <a:xfrm>
          <a:off x="5194581" y="5022804"/>
          <a:ext cx="406430" cy="1"/>
        </a:xfrm>
        <a:prstGeom prst="straightConnector1">
          <a:avLst/>
        </a:prstGeom>
        <a:ln w="38100">
          <a:solidFill>
            <a:srgbClr val="00B0F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123825</xdr:colOff>
      <xdr:row>21</xdr:row>
      <xdr:rowOff>88900</xdr:rowOff>
    </xdr:from>
    <xdr:to>
      <xdr:col>25</xdr:col>
      <xdr:colOff>127000</xdr:colOff>
      <xdr:row>23</xdr:row>
      <xdr:rowOff>98425</xdr:rowOff>
    </xdr:to>
    <xdr:cxnSp macro="">
      <xdr:nvCxnSpPr>
        <xdr:cNvPr id="9" name="直線矢印コネクタ 8">
          <a:extLst>
            <a:ext uri="{FF2B5EF4-FFF2-40B4-BE49-F238E27FC236}">
              <a16:creationId xmlns:a16="http://schemas.microsoft.com/office/drawing/2014/main" id="{5766327C-11C6-33A5-188E-7750D290AC12}"/>
            </a:ext>
          </a:extLst>
        </xdr:cNvPr>
        <xdr:cNvCxnSpPr/>
      </xdr:nvCxnSpPr>
      <xdr:spPr>
        <a:xfrm flipH="1">
          <a:off x="6270625" y="3187700"/>
          <a:ext cx="3175" cy="263525"/>
        </a:xfrm>
        <a:prstGeom prst="straightConnector1">
          <a:avLst/>
        </a:prstGeom>
        <a:ln w="38100">
          <a:solidFill>
            <a:srgbClr val="00B0F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196851</xdr:colOff>
      <xdr:row>21</xdr:row>
      <xdr:rowOff>95250</xdr:rowOff>
    </xdr:from>
    <xdr:to>
      <xdr:col>37</xdr:col>
      <xdr:colOff>19050</xdr:colOff>
      <xdr:row>21</xdr:row>
      <xdr:rowOff>95250</xdr:rowOff>
    </xdr:to>
    <xdr:cxnSp macro="">
      <xdr:nvCxnSpPr>
        <xdr:cNvPr id="10" name="直線矢印コネクタ 9">
          <a:extLst>
            <a:ext uri="{FF2B5EF4-FFF2-40B4-BE49-F238E27FC236}">
              <a16:creationId xmlns:a16="http://schemas.microsoft.com/office/drawing/2014/main" id="{A81771DD-9E23-B7FB-37EF-B1C124CB1182}"/>
            </a:ext>
          </a:extLst>
        </xdr:cNvPr>
        <xdr:cNvCxnSpPr/>
      </xdr:nvCxnSpPr>
      <xdr:spPr>
        <a:xfrm flipH="1">
          <a:off x="7877176" y="3286125"/>
          <a:ext cx="247649" cy="0"/>
        </a:xfrm>
        <a:prstGeom prst="straightConnector1">
          <a:avLst/>
        </a:prstGeom>
        <a:ln w="38100">
          <a:solidFill>
            <a:srgbClr val="00B0F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120650</xdr:colOff>
      <xdr:row>17</xdr:row>
      <xdr:rowOff>19050</xdr:rowOff>
    </xdr:from>
    <xdr:to>
      <xdr:col>36</xdr:col>
      <xdr:colOff>120650</xdr:colOff>
      <xdr:row>21</xdr:row>
      <xdr:rowOff>76200</xdr:rowOff>
    </xdr:to>
    <xdr:cxnSp macro="">
      <xdr:nvCxnSpPr>
        <xdr:cNvPr id="12" name="直線矢印コネクタ 11">
          <a:extLst>
            <a:ext uri="{FF2B5EF4-FFF2-40B4-BE49-F238E27FC236}">
              <a16:creationId xmlns:a16="http://schemas.microsoft.com/office/drawing/2014/main" id="{5B5ECACA-BEF3-58B1-732B-143D375B267E}"/>
            </a:ext>
          </a:extLst>
        </xdr:cNvPr>
        <xdr:cNvCxnSpPr/>
      </xdr:nvCxnSpPr>
      <xdr:spPr>
        <a:xfrm>
          <a:off x="8020050" y="2743200"/>
          <a:ext cx="0" cy="523875"/>
        </a:xfrm>
        <a:prstGeom prst="straightConnector1">
          <a:avLst/>
        </a:prstGeom>
        <a:ln w="38100">
          <a:solidFill>
            <a:srgbClr val="00B0F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200962</xdr:colOff>
      <xdr:row>8</xdr:row>
      <xdr:rowOff>93756</xdr:rowOff>
    </xdr:from>
    <xdr:to>
      <xdr:col>31</xdr:col>
      <xdr:colOff>18348</xdr:colOff>
      <xdr:row>11</xdr:row>
      <xdr:rowOff>51049</xdr:rowOff>
    </xdr:to>
    <xdr:sp macro="" textlink="">
      <xdr:nvSpPr>
        <xdr:cNvPr id="16" name="右矢印 4">
          <a:extLst>
            <a:ext uri="{FF2B5EF4-FFF2-40B4-BE49-F238E27FC236}">
              <a16:creationId xmlns:a16="http://schemas.microsoft.com/office/drawing/2014/main" id="{0384BD22-0613-4A1E-8E0F-5FD7FB9C45E6}"/>
            </a:ext>
          </a:extLst>
        </xdr:cNvPr>
        <xdr:cNvSpPr/>
      </xdr:nvSpPr>
      <xdr:spPr>
        <a:xfrm>
          <a:off x="7338362" y="1414556"/>
          <a:ext cx="312686" cy="376393"/>
        </a:xfrm>
        <a:prstGeom prst="rightArrow">
          <a:avLst>
            <a:gd name="adj1" fmla="val 50000"/>
            <a:gd name="adj2" fmla="val 47353"/>
          </a:avLst>
        </a:prstGeom>
        <a:solidFill>
          <a:srgbClr val="00B0F0"/>
        </a:solidFill>
        <a:ln w="158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52295</xdr:colOff>
      <xdr:row>20</xdr:row>
      <xdr:rowOff>20793</xdr:rowOff>
    </xdr:from>
    <xdr:to>
      <xdr:col>21</xdr:col>
      <xdr:colOff>235740</xdr:colOff>
      <xdr:row>28</xdr:row>
      <xdr:rowOff>13323</xdr:rowOff>
    </xdr:to>
    <xdr:sp macro="" textlink="">
      <xdr:nvSpPr>
        <xdr:cNvPr id="17" name="右中かっこ 16">
          <a:extLst>
            <a:ext uri="{FF2B5EF4-FFF2-40B4-BE49-F238E27FC236}">
              <a16:creationId xmlns:a16="http://schemas.microsoft.com/office/drawing/2014/main" id="{37B02C23-D6FB-4D37-A401-195C29F4E49D}"/>
            </a:ext>
          </a:extLst>
        </xdr:cNvPr>
        <xdr:cNvSpPr/>
      </xdr:nvSpPr>
      <xdr:spPr>
        <a:xfrm>
          <a:off x="5184589" y="3001558"/>
          <a:ext cx="183445" cy="1143000"/>
        </a:xfrm>
        <a:prstGeom prst="rightBrace">
          <a:avLst>
            <a:gd name="adj1" fmla="val 30208"/>
            <a:gd name="adj2" fmla="val 48148"/>
          </a:avLst>
        </a:prstGeom>
        <a:ln w="25400">
          <a:solidFill>
            <a:srgbClr val="00B0F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221631</xdr:colOff>
      <xdr:row>16</xdr:row>
      <xdr:rowOff>56071</xdr:rowOff>
    </xdr:from>
    <xdr:to>
      <xdr:col>33</xdr:col>
      <xdr:colOff>170167</xdr:colOff>
      <xdr:row>24</xdr:row>
      <xdr:rowOff>11248</xdr:rowOff>
    </xdr:to>
    <xdr:sp macro="" textlink="">
      <xdr:nvSpPr>
        <xdr:cNvPr id="18" name="フリーフォーム: 図形 17">
          <a:extLst>
            <a:ext uri="{FF2B5EF4-FFF2-40B4-BE49-F238E27FC236}">
              <a16:creationId xmlns:a16="http://schemas.microsoft.com/office/drawing/2014/main" id="{9C14FE3B-F45B-4DEA-B992-E3088B98E2A2}"/>
            </a:ext>
          </a:extLst>
        </xdr:cNvPr>
        <xdr:cNvSpPr/>
      </xdr:nvSpPr>
      <xdr:spPr>
        <a:xfrm>
          <a:off x="5353925" y="2528836"/>
          <a:ext cx="2906889" cy="1016000"/>
        </a:xfrm>
        <a:custGeom>
          <a:avLst/>
          <a:gdLst>
            <a:gd name="connsiteX0" fmla="*/ 0 w 2906889"/>
            <a:gd name="connsiteY0" fmla="*/ 1016000 h 1016000"/>
            <a:gd name="connsiteX1" fmla="*/ 127000 w 2906889"/>
            <a:gd name="connsiteY1" fmla="*/ 1016000 h 1016000"/>
            <a:gd name="connsiteX2" fmla="*/ 127000 w 2906889"/>
            <a:gd name="connsiteY2" fmla="*/ 169334 h 1016000"/>
            <a:gd name="connsiteX3" fmla="*/ 2906889 w 2906889"/>
            <a:gd name="connsiteY3" fmla="*/ 169334 h 1016000"/>
            <a:gd name="connsiteX4" fmla="*/ 2906889 w 2906889"/>
            <a:gd name="connsiteY4" fmla="*/ 0 h 1016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906889" h="1016000">
              <a:moveTo>
                <a:pt x="0" y="1016000"/>
              </a:moveTo>
              <a:lnTo>
                <a:pt x="127000" y="1016000"/>
              </a:lnTo>
              <a:lnTo>
                <a:pt x="127000" y="169334"/>
              </a:lnTo>
              <a:lnTo>
                <a:pt x="2906889" y="169334"/>
              </a:lnTo>
              <a:lnTo>
                <a:pt x="2906889" y="0"/>
              </a:lnTo>
            </a:path>
          </a:pathLst>
        </a:custGeom>
        <a:noFill/>
        <a:ln w="34925">
          <a:solidFill>
            <a:srgbClr val="00B0F0"/>
          </a:solidFill>
          <a:headEnd w="med" len="lg"/>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0</xdr:colOff>
      <xdr:row>33</xdr:row>
      <xdr:rowOff>103372</xdr:rowOff>
    </xdr:from>
    <xdr:to>
      <xdr:col>22</xdr:col>
      <xdr:colOff>206744</xdr:colOff>
      <xdr:row>33</xdr:row>
      <xdr:rowOff>110729</xdr:rowOff>
    </xdr:to>
    <xdr:cxnSp macro="">
      <xdr:nvCxnSpPr>
        <xdr:cNvPr id="8" name="直線矢印コネクタ 7">
          <a:extLst>
            <a:ext uri="{FF2B5EF4-FFF2-40B4-BE49-F238E27FC236}">
              <a16:creationId xmlns:a16="http://schemas.microsoft.com/office/drawing/2014/main" id="{32A489C6-B814-4FDA-F0EB-B39B56D39FA4}"/>
            </a:ext>
          </a:extLst>
        </xdr:cNvPr>
        <xdr:cNvCxnSpPr/>
      </xdr:nvCxnSpPr>
      <xdr:spPr>
        <a:xfrm flipV="1">
          <a:off x="5227674" y="5759302"/>
          <a:ext cx="457791" cy="7357"/>
        </a:xfrm>
        <a:prstGeom prst="straightConnector1">
          <a:avLst/>
        </a:prstGeom>
        <a:ln w="38100">
          <a:solidFill>
            <a:srgbClr val="00B0F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21</xdr:row>
      <xdr:rowOff>88900</xdr:rowOff>
    </xdr:from>
    <xdr:to>
      <xdr:col>26</xdr:col>
      <xdr:colOff>12700</xdr:colOff>
      <xdr:row>23</xdr:row>
      <xdr:rowOff>73025</xdr:rowOff>
    </xdr:to>
    <xdr:cxnSp macro="">
      <xdr:nvCxnSpPr>
        <xdr:cNvPr id="9" name="直線矢印コネクタ 8">
          <a:extLst>
            <a:ext uri="{FF2B5EF4-FFF2-40B4-BE49-F238E27FC236}">
              <a16:creationId xmlns:a16="http://schemas.microsoft.com/office/drawing/2014/main" id="{B53C21B9-DBCF-E095-3D1E-9692CBDA3FE2}"/>
            </a:ext>
          </a:extLst>
        </xdr:cNvPr>
        <xdr:cNvCxnSpPr/>
      </xdr:nvCxnSpPr>
      <xdr:spPr>
        <a:xfrm flipH="1">
          <a:off x="6394450" y="3225800"/>
          <a:ext cx="12700" cy="238125"/>
        </a:xfrm>
        <a:prstGeom prst="straightConnector1">
          <a:avLst/>
        </a:prstGeom>
        <a:ln w="38100">
          <a:solidFill>
            <a:srgbClr val="00B0F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196851</xdr:colOff>
      <xdr:row>21</xdr:row>
      <xdr:rowOff>95250</xdr:rowOff>
    </xdr:from>
    <xdr:to>
      <xdr:col>37</xdr:col>
      <xdr:colOff>19050</xdr:colOff>
      <xdr:row>21</xdr:row>
      <xdr:rowOff>95250</xdr:rowOff>
    </xdr:to>
    <xdr:cxnSp macro="">
      <xdr:nvCxnSpPr>
        <xdr:cNvPr id="11" name="直線矢印コネクタ 10">
          <a:extLst>
            <a:ext uri="{FF2B5EF4-FFF2-40B4-BE49-F238E27FC236}">
              <a16:creationId xmlns:a16="http://schemas.microsoft.com/office/drawing/2014/main" id="{25F6B719-0802-50F3-BD29-B106ABDE5D3D}"/>
            </a:ext>
          </a:extLst>
        </xdr:cNvPr>
        <xdr:cNvCxnSpPr/>
      </xdr:nvCxnSpPr>
      <xdr:spPr>
        <a:xfrm flipH="1">
          <a:off x="7877176" y="3276600"/>
          <a:ext cx="247649" cy="0"/>
        </a:xfrm>
        <a:prstGeom prst="straightConnector1">
          <a:avLst/>
        </a:prstGeom>
        <a:ln w="38100">
          <a:solidFill>
            <a:srgbClr val="00B0F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120650</xdr:colOff>
      <xdr:row>17</xdr:row>
      <xdr:rowOff>19050</xdr:rowOff>
    </xdr:from>
    <xdr:to>
      <xdr:col>36</xdr:col>
      <xdr:colOff>120650</xdr:colOff>
      <xdr:row>21</xdr:row>
      <xdr:rowOff>76200</xdr:rowOff>
    </xdr:to>
    <xdr:cxnSp macro="">
      <xdr:nvCxnSpPr>
        <xdr:cNvPr id="14" name="直線矢印コネクタ 13">
          <a:extLst>
            <a:ext uri="{FF2B5EF4-FFF2-40B4-BE49-F238E27FC236}">
              <a16:creationId xmlns:a16="http://schemas.microsoft.com/office/drawing/2014/main" id="{7B823853-8956-270C-D0DB-52601250B45A}"/>
            </a:ext>
          </a:extLst>
        </xdr:cNvPr>
        <xdr:cNvCxnSpPr/>
      </xdr:nvCxnSpPr>
      <xdr:spPr>
        <a:xfrm>
          <a:off x="8020050" y="2733675"/>
          <a:ext cx="0" cy="523875"/>
        </a:xfrm>
        <a:prstGeom prst="straightConnector1">
          <a:avLst/>
        </a:prstGeom>
        <a:ln w="38100">
          <a:solidFill>
            <a:srgbClr val="00B0F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196852</xdr:colOff>
      <xdr:row>8</xdr:row>
      <xdr:rowOff>82550</xdr:rowOff>
    </xdr:from>
    <xdr:to>
      <xdr:col>31</xdr:col>
      <xdr:colOff>11997</xdr:colOff>
      <xdr:row>11</xdr:row>
      <xdr:rowOff>46567</xdr:rowOff>
    </xdr:to>
    <xdr:sp macro="" textlink="">
      <xdr:nvSpPr>
        <xdr:cNvPr id="2" name="右矢印 4">
          <a:extLst>
            <a:ext uri="{FF2B5EF4-FFF2-40B4-BE49-F238E27FC236}">
              <a16:creationId xmlns:a16="http://schemas.microsoft.com/office/drawing/2014/main" id="{C8DCBC25-D433-4DFE-90B7-3576D5BC6EFE}"/>
            </a:ext>
          </a:extLst>
        </xdr:cNvPr>
        <xdr:cNvSpPr/>
      </xdr:nvSpPr>
      <xdr:spPr>
        <a:xfrm>
          <a:off x="7334252" y="1428750"/>
          <a:ext cx="310445" cy="383117"/>
        </a:xfrm>
        <a:prstGeom prst="rightArrow">
          <a:avLst>
            <a:gd name="adj1" fmla="val 50000"/>
            <a:gd name="adj2" fmla="val 47353"/>
          </a:avLst>
        </a:prstGeom>
        <a:solidFill>
          <a:srgbClr val="00B0F0"/>
        </a:solidFill>
        <a:ln w="158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19050</xdr:colOff>
      <xdr:row>20</xdr:row>
      <xdr:rowOff>33867</xdr:rowOff>
    </xdr:from>
    <xdr:to>
      <xdr:col>21</xdr:col>
      <xdr:colOff>202495</xdr:colOff>
      <xdr:row>28</xdr:row>
      <xdr:rowOff>8467</xdr:rowOff>
    </xdr:to>
    <xdr:sp macro="" textlink="">
      <xdr:nvSpPr>
        <xdr:cNvPr id="4" name="右中かっこ 3">
          <a:extLst>
            <a:ext uri="{FF2B5EF4-FFF2-40B4-BE49-F238E27FC236}">
              <a16:creationId xmlns:a16="http://schemas.microsoft.com/office/drawing/2014/main" id="{9D4995EB-19FA-4D70-AFA1-104A7AF56400}"/>
            </a:ext>
          </a:extLst>
        </xdr:cNvPr>
        <xdr:cNvSpPr/>
      </xdr:nvSpPr>
      <xdr:spPr>
        <a:xfrm>
          <a:off x="5175250" y="3018367"/>
          <a:ext cx="183445" cy="1143000"/>
        </a:xfrm>
        <a:prstGeom prst="rightBrace">
          <a:avLst>
            <a:gd name="adj1" fmla="val 30208"/>
            <a:gd name="adj2" fmla="val 48148"/>
          </a:avLst>
        </a:prstGeom>
        <a:ln w="25400">
          <a:solidFill>
            <a:srgbClr val="00B0F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188386</xdr:colOff>
      <xdr:row>16</xdr:row>
      <xdr:rowOff>81845</xdr:rowOff>
    </xdr:from>
    <xdr:to>
      <xdr:col>33</xdr:col>
      <xdr:colOff>123475</xdr:colOff>
      <xdr:row>24</xdr:row>
      <xdr:rowOff>18345</xdr:rowOff>
    </xdr:to>
    <xdr:sp macro="" textlink="">
      <xdr:nvSpPr>
        <xdr:cNvPr id="5" name="フリーフォーム: 図形 4">
          <a:extLst>
            <a:ext uri="{FF2B5EF4-FFF2-40B4-BE49-F238E27FC236}">
              <a16:creationId xmlns:a16="http://schemas.microsoft.com/office/drawing/2014/main" id="{A4E27F66-9375-41CB-859C-ACCAECA033AF}"/>
            </a:ext>
          </a:extLst>
        </xdr:cNvPr>
        <xdr:cNvSpPr/>
      </xdr:nvSpPr>
      <xdr:spPr>
        <a:xfrm>
          <a:off x="5344586" y="2545645"/>
          <a:ext cx="2906889" cy="1016000"/>
        </a:xfrm>
        <a:custGeom>
          <a:avLst/>
          <a:gdLst>
            <a:gd name="connsiteX0" fmla="*/ 0 w 2906889"/>
            <a:gd name="connsiteY0" fmla="*/ 1016000 h 1016000"/>
            <a:gd name="connsiteX1" fmla="*/ 127000 w 2906889"/>
            <a:gd name="connsiteY1" fmla="*/ 1016000 h 1016000"/>
            <a:gd name="connsiteX2" fmla="*/ 127000 w 2906889"/>
            <a:gd name="connsiteY2" fmla="*/ 169334 h 1016000"/>
            <a:gd name="connsiteX3" fmla="*/ 2906889 w 2906889"/>
            <a:gd name="connsiteY3" fmla="*/ 169334 h 1016000"/>
            <a:gd name="connsiteX4" fmla="*/ 2906889 w 2906889"/>
            <a:gd name="connsiteY4" fmla="*/ 0 h 1016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906889" h="1016000">
              <a:moveTo>
                <a:pt x="0" y="1016000"/>
              </a:moveTo>
              <a:lnTo>
                <a:pt x="127000" y="1016000"/>
              </a:lnTo>
              <a:lnTo>
                <a:pt x="127000" y="169334"/>
              </a:lnTo>
              <a:lnTo>
                <a:pt x="2906889" y="169334"/>
              </a:lnTo>
              <a:lnTo>
                <a:pt x="2906889" y="0"/>
              </a:lnTo>
            </a:path>
          </a:pathLst>
        </a:custGeom>
        <a:noFill/>
        <a:ln w="34925">
          <a:solidFill>
            <a:srgbClr val="00B0F0"/>
          </a:solidFill>
          <a:headEnd w="med" len="lg"/>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0</xdr:colOff>
      <xdr:row>32</xdr:row>
      <xdr:rowOff>101204</xdr:rowOff>
    </xdr:from>
    <xdr:to>
      <xdr:col>22</xdr:col>
      <xdr:colOff>178952</xdr:colOff>
      <xdr:row>32</xdr:row>
      <xdr:rowOff>101205</xdr:rowOff>
    </xdr:to>
    <xdr:cxnSp macro="">
      <xdr:nvCxnSpPr>
        <xdr:cNvPr id="7" name="直線矢印コネクタ 6">
          <a:extLst>
            <a:ext uri="{FF2B5EF4-FFF2-40B4-BE49-F238E27FC236}">
              <a16:creationId xmlns:a16="http://schemas.microsoft.com/office/drawing/2014/main" id="{5101400A-3C89-71E0-EA04-C39B3D515A20}"/>
            </a:ext>
          </a:extLst>
        </xdr:cNvPr>
        <xdr:cNvCxnSpPr/>
      </xdr:nvCxnSpPr>
      <xdr:spPr>
        <a:xfrm>
          <a:off x="4200525" y="5454254"/>
          <a:ext cx="391715" cy="1"/>
        </a:xfrm>
        <a:prstGeom prst="straightConnector1">
          <a:avLst/>
        </a:prstGeom>
        <a:ln w="38100">
          <a:solidFill>
            <a:srgbClr val="00B0F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19050</xdr:colOff>
      <xdr:row>17</xdr:row>
      <xdr:rowOff>22225</xdr:rowOff>
    </xdr:from>
    <xdr:to>
      <xdr:col>43</xdr:col>
      <xdr:colOff>107950</xdr:colOff>
      <xdr:row>20</xdr:row>
      <xdr:rowOff>95288</xdr:rowOff>
    </xdr:to>
    <xdr:sp macro="" textlink="">
      <xdr:nvSpPr>
        <xdr:cNvPr id="10" name="フリーフォーム 9">
          <a:extLst>
            <a:ext uri="{FF2B5EF4-FFF2-40B4-BE49-F238E27FC236}">
              <a16:creationId xmlns:a16="http://schemas.microsoft.com/office/drawing/2014/main" id="{96345B94-4BCD-FF62-92EE-1649F4D8D18B}"/>
            </a:ext>
          </a:extLst>
        </xdr:cNvPr>
        <xdr:cNvSpPr/>
      </xdr:nvSpPr>
      <xdr:spPr>
        <a:xfrm>
          <a:off x="7820025" y="2638425"/>
          <a:ext cx="895350" cy="533400"/>
        </a:xfrm>
        <a:custGeom>
          <a:avLst/>
          <a:gdLst>
            <a:gd name="connsiteX0" fmla="*/ 895350 w 895350"/>
            <a:gd name="connsiteY0" fmla="*/ 0 h 533400"/>
            <a:gd name="connsiteX1" fmla="*/ 895350 w 895350"/>
            <a:gd name="connsiteY1" fmla="*/ 533400 h 533400"/>
            <a:gd name="connsiteX2" fmla="*/ 0 w 895350"/>
            <a:gd name="connsiteY2" fmla="*/ 533400 h 533400"/>
          </a:gdLst>
          <a:ahLst/>
          <a:cxnLst>
            <a:cxn ang="0">
              <a:pos x="connsiteX0" y="connsiteY0"/>
            </a:cxn>
            <a:cxn ang="0">
              <a:pos x="connsiteX1" y="connsiteY1"/>
            </a:cxn>
            <a:cxn ang="0">
              <a:pos x="connsiteX2" y="connsiteY2"/>
            </a:cxn>
          </a:cxnLst>
          <a:rect l="l" t="t" r="r" b="b"/>
          <a:pathLst>
            <a:path w="895350" h="533400">
              <a:moveTo>
                <a:pt x="895350" y="0"/>
              </a:moveTo>
              <a:lnTo>
                <a:pt x="895350" y="533400"/>
              </a:lnTo>
              <a:lnTo>
                <a:pt x="0" y="533400"/>
              </a:lnTo>
            </a:path>
          </a:pathLst>
        </a:custGeom>
        <a:noFill/>
        <a:ln w="38100">
          <a:solidFill>
            <a:srgbClr val="00B0F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C</a:t>
          </a:r>
          <a:endParaRPr kumimoji="1" lang="ja-JP" altLang="en-US" sz="1100"/>
        </a:p>
      </xdr:txBody>
    </xdr:sp>
    <xdr:clientData/>
  </xdr:twoCellAnchor>
  <xdr:twoCellAnchor>
    <xdr:from>
      <xdr:col>24</xdr:col>
      <xdr:colOff>203200</xdr:colOff>
      <xdr:row>20</xdr:row>
      <xdr:rowOff>107950</xdr:rowOff>
    </xdr:from>
    <xdr:to>
      <xdr:col>24</xdr:col>
      <xdr:colOff>209550</xdr:colOff>
      <xdr:row>22</xdr:row>
      <xdr:rowOff>114300</xdr:rowOff>
    </xdr:to>
    <xdr:cxnSp macro="">
      <xdr:nvCxnSpPr>
        <xdr:cNvPr id="12" name="直線矢印コネクタ 11">
          <a:extLst>
            <a:ext uri="{FF2B5EF4-FFF2-40B4-BE49-F238E27FC236}">
              <a16:creationId xmlns:a16="http://schemas.microsoft.com/office/drawing/2014/main" id="{FE116FBD-6CBB-56D7-90CB-E5A09439636F}"/>
            </a:ext>
          </a:extLst>
        </xdr:cNvPr>
        <xdr:cNvCxnSpPr/>
      </xdr:nvCxnSpPr>
      <xdr:spPr>
        <a:xfrm flipH="1">
          <a:off x="6083300" y="3244850"/>
          <a:ext cx="6350" cy="222250"/>
        </a:xfrm>
        <a:prstGeom prst="straightConnector1">
          <a:avLst/>
        </a:prstGeom>
        <a:ln w="38100">
          <a:solidFill>
            <a:srgbClr val="00B0F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203202</xdr:colOff>
      <xdr:row>8</xdr:row>
      <xdr:rowOff>88900</xdr:rowOff>
    </xdr:from>
    <xdr:to>
      <xdr:col>31</xdr:col>
      <xdr:colOff>18347</xdr:colOff>
      <xdr:row>11</xdr:row>
      <xdr:rowOff>14817</xdr:rowOff>
    </xdr:to>
    <xdr:sp macro="" textlink="">
      <xdr:nvSpPr>
        <xdr:cNvPr id="3" name="右矢印 4">
          <a:extLst>
            <a:ext uri="{FF2B5EF4-FFF2-40B4-BE49-F238E27FC236}">
              <a16:creationId xmlns:a16="http://schemas.microsoft.com/office/drawing/2014/main" id="{BC41022E-0CFB-43FB-AB89-744833E4BC4B}"/>
            </a:ext>
          </a:extLst>
        </xdr:cNvPr>
        <xdr:cNvSpPr/>
      </xdr:nvSpPr>
      <xdr:spPr>
        <a:xfrm>
          <a:off x="7321552" y="1485900"/>
          <a:ext cx="310445" cy="383117"/>
        </a:xfrm>
        <a:prstGeom prst="rightArrow">
          <a:avLst>
            <a:gd name="adj1" fmla="val 50000"/>
            <a:gd name="adj2" fmla="val 47353"/>
          </a:avLst>
        </a:prstGeom>
        <a:solidFill>
          <a:srgbClr val="00B0F0"/>
        </a:solidFill>
        <a:ln w="158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25400</xdr:colOff>
      <xdr:row>19</xdr:row>
      <xdr:rowOff>91017</xdr:rowOff>
    </xdr:from>
    <xdr:to>
      <xdr:col>21</xdr:col>
      <xdr:colOff>208845</xdr:colOff>
      <xdr:row>27</xdr:row>
      <xdr:rowOff>103717</xdr:rowOff>
    </xdr:to>
    <xdr:sp macro="" textlink="">
      <xdr:nvSpPr>
        <xdr:cNvPr id="4" name="右中かっこ 3">
          <a:extLst>
            <a:ext uri="{FF2B5EF4-FFF2-40B4-BE49-F238E27FC236}">
              <a16:creationId xmlns:a16="http://schemas.microsoft.com/office/drawing/2014/main" id="{2084AC98-B778-47D1-B528-BED713097089}"/>
            </a:ext>
          </a:extLst>
        </xdr:cNvPr>
        <xdr:cNvSpPr/>
      </xdr:nvSpPr>
      <xdr:spPr>
        <a:xfrm>
          <a:off x="5162550" y="3075517"/>
          <a:ext cx="183445" cy="1143000"/>
        </a:xfrm>
        <a:prstGeom prst="rightBrace">
          <a:avLst>
            <a:gd name="adj1" fmla="val 30208"/>
            <a:gd name="adj2" fmla="val 48148"/>
          </a:avLst>
        </a:prstGeom>
        <a:ln w="25400">
          <a:solidFill>
            <a:srgbClr val="00B0F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194736</xdr:colOff>
      <xdr:row>15</xdr:row>
      <xdr:rowOff>138995</xdr:rowOff>
    </xdr:from>
    <xdr:to>
      <xdr:col>33</xdr:col>
      <xdr:colOff>129825</xdr:colOff>
      <xdr:row>23</xdr:row>
      <xdr:rowOff>113595</xdr:rowOff>
    </xdr:to>
    <xdr:sp macro="" textlink="">
      <xdr:nvSpPr>
        <xdr:cNvPr id="5" name="フリーフォーム: 図形 4">
          <a:extLst>
            <a:ext uri="{FF2B5EF4-FFF2-40B4-BE49-F238E27FC236}">
              <a16:creationId xmlns:a16="http://schemas.microsoft.com/office/drawing/2014/main" id="{6F08B321-1E5E-47DD-9900-028E283B8B52}"/>
            </a:ext>
          </a:extLst>
        </xdr:cNvPr>
        <xdr:cNvSpPr/>
      </xdr:nvSpPr>
      <xdr:spPr>
        <a:xfrm>
          <a:off x="5331886" y="2602795"/>
          <a:ext cx="2906889" cy="1016000"/>
        </a:xfrm>
        <a:custGeom>
          <a:avLst/>
          <a:gdLst>
            <a:gd name="connsiteX0" fmla="*/ 0 w 2906889"/>
            <a:gd name="connsiteY0" fmla="*/ 1016000 h 1016000"/>
            <a:gd name="connsiteX1" fmla="*/ 127000 w 2906889"/>
            <a:gd name="connsiteY1" fmla="*/ 1016000 h 1016000"/>
            <a:gd name="connsiteX2" fmla="*/ 127000 w 2906889"/>
            <a:gd name="connsiteY2" fmla="*/ 169334 h 1016000"/>
            <a:gd name="connsiteX3" fmla="*/ 2906889 w 2906889"/>
            <a:gd name="connsiteY3" fmla="*/ 169334 h 1016000"/>
            <a:gd name="connsiteX4" fmla="*/ 2906889 w 2906889"/>
            <a:gd name="connsiteY4" fmla="*/ 0 h 1016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906889" h="1016000">
              <a:moveTo>
                <a:pt x="0" y="1016000"/>
              </a:moveTo>
              <a:lnTo>
                <a:pt x="127000" y="1016000"/>
              </a:lnTo>
              <a:lnTo>
                <a:pt x="127000" y="169334"/>
              </a:lnTo>
              <a:lnTo>
                <a:pt x="2906889" y="169334"/>
              </a:lnTo>
              <a:lnTo>
                <a:pt x="2906889" y="0"/>
              </a:lnTo>
            </a:path>
          </a:pathLst>
        </a:custGeom>
        <a:noFill/>
        <a:ln w="34925">
          <a:solidFill>
            <a:srgbClr val="00B0F0"/>
          </a:solidFill>
          <a:headEnd w="med" len="lg"/>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19050</xdr:colOff>
      <xdr:row>32</xdr:row>
      <xdr:rowOff>75804</xdr:rowOff>
    </xdr:from>
    <xdr:to>
      <xdr:col>22</xdr:col>
      <xdr:colOff>241300</xdr:colOff>
      <xdr:row>32</xdr:row>
      <xdr:rowOff>82550</xdr:rowOff>
    </xdr:to>
    <xdr:cxnSp macro="">
      <xdr:nvCxnSpPr>
        <xdr:cNvPr id="9" name="直線矢印コネクタ 8">
          <a:extLst>
            <a:ext uri="{FF2B5EF4-FFF2-40B4-BE49-F238E27FC236}">
              <a16:creationId xmlns:a16="http://schemas.microsoft.com/office/drawing/2014/main" id="{36847310-A2CA-BC8F-D330-5F533FCB7572}"/>
            </a:ext>
          </a:extLst>
        </xdr:cNvPr>
        <xdr:cNvCxnSpPr/>
      </xdr:nvCxnSpPr>
      <xdr:spPr>
        <a:xfrm>
          <a:off x="5156200" y="4952604"/>
          <a:ext cx="469900" cy="6746"/>
        </a:xfrm>
        <a:prstGeom prst="straightConnector1">
          <a:avLst/>
        </a:prstGeom>
        <a:ln w="38100">
          <a:solidFill>
            <a:srgbClr val="00B0F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3174</xdr:colOff>
      <xdr:row>18</xdr:row>
      <xdr:rowOff>12700</xdr:rowOff>
    </xdr:from>
    <xdr:to>
      <xdr:col>43</xdr:col>
      <xdr:colOff>126999</xdr:colOff>
      <xdr:row>20</xdr:row>
      <xdr:rowOff>66713</xdr:rowOff>
    </xdr:to>
    <xdr:sp macro="" textlink="">
      <xdr:nvSpPr>
        <xdr:cNvPr id="11" name="フリーフォーム 10">
          <a:extLst>
            <a:ext uri="{FF2B5EF4-FFF2-40B4-BE49-F238E27FC236}">
              <a16:creationId xmlns:a16="http://schemas.microsoft.com/office/drawing/2014/main" id="{FE6BD935-745B-1190-F864-0D3F17F5DFF5}"/>
            </a:ext>
          </a:extLst>
        </xdr:cNvPr>
        <xdr:cNvSpPr/>
      </xdr:nvSpPr>
      <xdr:spPr>
        <a:xfrm>
          <a:off x="9350374" y="2844800"/>
          <a:ext cx="1362075" cy="358813"/>
        </a:xfrm>
        <a:custGeom>
          <a:avLst/>
          <a:gdLst>
            <a:gd name="connsiteX0" fmla="*/ 895350 w 895350"/>
            <a:gd name="connsiteY0" fmla="*/ 0 h 533400"/>
            <a:gd name="connsiteX1" fmla="*/ 895350 w 895350"/>
            <a:gd name="connsiteY1" fmla="*/ 533400 h 533400"/>
            <a:gd name="connsiteX2" fmla="*/ 0 w 895350"/>
            <a:gd name="connsiteY2" fmla="*/ 533400 h 533400"/>
          </a:gdLst>
          <a:ahLst/>
          <a:cxnLst>
            <a:cxn ang="0">
              <a:pos x="connsiteX0" y="connsiteY0"/>
            </a:cxn>
            <a:cxn ang="0">
              <a:pos x="connsiteX1" y="connsiteY1"/>
            </a:cxn>
            <a:cxn ang="0">
              <a:pos x="connsiteX2" y="connsiteY2"/>
            </a:cxn>
          </a:cxnLst>
          <a:rect l="l" t="t" r="r" b="b"/>
          <a:pathLst>
            <a:path w="895350" h="533400">
              <a:moveTo>
                <a:pt x="895350" y="0"/>
              </a:moveTo>
              <a:lnTo>
                <a:pt x="895350" y="533400"/>
              </a:lnTo>
              <a:lnTo>
                <a:pt x="0" y="533400"/>
              </a:lnTo>
            </a:path>
          </a:pathLst>
        </a:custGeom>
        <a:noFill/>
        <a:ln w="38100">
          <a:solidFill>
            <a:srgbClr val="00B0F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152400</xdr:colOff>
      <xdr:row>20</xdr:row>
      <xdr:rowOff>57150</xdr:rowOff>
    </xdr:from>
    <xdr:to>
      <xdr:col>25</xdr:col>
      <xdr:colOff>158750</xdr:colOff>
      <xdr:row>22</xdr:row>
      <xdr:rowOff>63613</xdr:rowOff>
    </xdr:to>
    <xdr:cxnSp macro="">
      <xdr:nvCxnSpPr>
        <xdr:cNvPr id="12" name="直線矢印コネクタ 11">
          <a:extLst>
            <a:ext uri="{FF2B5EF4-FFF2-40B4-BE49-F238E27FC236}">
              <a16:creationId xmlns:a16="http://schemas.microsoft.com/office/drawing/2014/main" id="{3F997181-EDBF-C03E-1F17-96A7F2F79907}"/>
            </a:ext>
          </a:extLst>
        </xdr:cNvPr>
        <xdr:cNvCxnSpPr/>
      </xdr:nvCxnSpPr>
      <xdr:spPr>
        <a:xfrm>
          <a:off x="6280150" y="3194050"/>
          <a:ext cx="6350" cy="222363"/>
        </a:xfrm>
        <a:prstGeom prst="straightConnector1">
          <a:avLst/>
        </a:prstGeom>
        <a:ln w="38100">
          <a:solidFill>
            <a:srgbClr val="00B0F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215902</xdr:colOff>
      <xdr:row>8</xdr:row>
      <xdr:rowOff>120650</xdr:rowOff>
    </xdr:from>
    <xdr:to>
      <xdr:col>31</xdr:col>
      <xdr:colOff>31047</xdr:colOff>
      <xdr:row>11</xdr:row>
      <xdr:rowOff>46567</xdr:rowOff>
    </xdr:to>
    <xdr:sp macro="" textlink="">
      <xdr:nvSpPr>
        <xdr:cNvPr id="2" name="右矢印 4">
          <a:extLst>
            <a:ext uri="{FF2B5EF4-FFF2-40B4-BE49-F238E27FC236}">
              <a16:creationId xmlns:a16="http://schemas.microsoft.com/office/drawing/2014/main" id="{25398210-4546-40C2-9019-202C03A26951}"/>
            </a:ext>
          </a:extLst>
        </xdr:cNvPr>
        <xdr:cNvSpPr/>
      </xdr:nvSpPr>
      <xdr:spPr>
        <a:xfrm>
          <a:off x="7334252" y="1517650"/>
          <a:ext cx="310445" cy="383117"/>
        </a:xfrm>
        <a:prstGeom prst="rightArrow">
          <a:avLst>
            <a:gd name="adj1" fmla="val 50000"/>
            <a:gd name="adj2" fmla="val 47353"/>
          </a:avLst>
        </a:prstGeom>
        <a:solidFill>
          <a:srgbClr val="00B0F0"/>
        </a:solidFill>
        <a:ln w="158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19050</xdr:colOff>
      <xdr:row>19</xdr:row>
      <xdr:rowOff>84667</xdr:rowOff>
    </xdr:from>
    <xdr:to>
      <xdr:col>21</xdr:col>
      <xdr:colOff>202495</xdr:colOff>
      <xdr:row>27</xdr:row>
      <xdr:rowOff>97367</xdr:rowOff>
    </xdr:to>
    <xdr:sp macro="" textlink="">
      <xdr:nvSpPr>
        <xdr:cNvPr id="3" name="右中かっこ 2">
          <a:extLst>
            <a:ext uri="{FF2B5EF4-FFF2-40B4-BE49-F238E27FC236}">
              <a16:creationId xmlns:a16="http://schemas.microsoft.com/office/drawing/2014/main" id="{1F52C636-8AB9-44A6-851E-77DBB3F61335}"/>
            </a:ext>
          </a:extLst>
        </xdr:cNvPr>
        <xdr:cNvSpPr/>
      </xdr:nvSpPr>
      <xdr:spPr>
        <a:xfrm>
          <a:off x="5156200" y="3069167"/>
          <a:ext cx="183445" cy="1143000"/>
        </a:xfrm>
        <a:prstGeom prst="rightBrace">
          <a:avLst>
            <a:gd name="adj1" fmla="val 30208"/>
            <a:gd name="adj2" fmla="val 48148"/>
          </a:avLst>
        </a:prstGeom>
        <a:ln w="25400">
          <a:solidFill>
            <a:srgbClr val="00B0F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188386</xdr:colOff>
      <xdr:row>15</xdr:row>
      <xdr:rowOff>132645</xdr:rowOff>
    </xdr:from>
    <xdr:to>
      <xdr:col>33</xdr:col>
      <xdr:colOff>123475</xdr:colOff>
      <xdr:row>23</xdr:row>
      <xdr:rowOff>107245</xdr:rowOff>
    </xdr:to>
    <xdr:sp macro="" textlink="">
      <xdr:nvSpPr>
        <xdr:cNvPr id="5" name="フリーフォーム: 図形 4">
          <a:extLst>
            <a:ext uri="{FF2B5EF4-FFF2-40B4-BE49-F238E27FC236}">
              <a16:creationId xmlns:a16="http://schemas.microsoft.com/office/drawing/2014/main" id="{62E394D5-4ADC-4F79-9CF4-65F77CA32E54}"/>
            </a:ext>
          </a:extLst>
        </xdr:cNvPr>
        <xdr:cNvSpPr/>
      </xdr:nvSpPr>
      <xdr:spPr>
        <a:xfrm>
          <a:off x="5325536" y="2596445"/>
          <a:ext cx="2906889" cy="1016000"/>
        </a:xfrm>
        <a:custGeom>
          <a:avLst/>
          <a:gdLst>
            <a:gd name="connsiteX0" fmla="*/ 0 w 2906889"/>
            <a:gd name="connsiteY0" fmla="*/ 1016000 h 1016000"/>
            <a:gd name="connsiteX1" fmla="*/ 127000 w 2906889"/>
            <a:gd name="connsiteY1" fmla="*/ 1016000 h 1016000"/>
            <a:gd name="connsiteX2" fmla="*/ 127000 w 2906889"/>
            <a:gd name="connsiteY2" fmla="*/ 169334 h 1016000"/>
            <a:gd name="connsiteX3" fmla="*/ 2906889 w 2906889"/>
            <a:gd name="connsiteY3" fmla="*/ 169334 h 1016000"/>
            <a:gd name="connsiteX4" fmla="*/ 2906889 w 2906889"/>
            <a:gd name="connsiteY4" fmla="*/ 0 h 1016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906889" h="1016000">
              <a:moveTo>
                <a:pt x="0" y="1016000"/>
              </a:moveTo>
              <a:lnTo>
                <a:pt x="127000" y="1016000"/>
              </a:lnTo>
              <a:lnTo>
                <a:pt x="127000" y="169334"/>
              </a:lnTo>
              <a:lnTo>
                <a:pt x="2906889" y="169334"/>
              </a:lnTo>
              <a:lnTo>
                <a:pt x="2906889" y="0"/>
              </a:lnTo>
            </a:path>
          </a:pathLst>
        </a:custGeom>
        <a:noFill/>
        <a:ln w="34925">
          <a:solidFill>
            <a:srgbClr val="00B0F0"/>
          </a:solidFill>
          <a:headEnd w="med" len="lg"/>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57149</xdr:colOff>
      <xdr:row>18</xdr:row>
      <xdr:rowOff>152400</xdr:rowOff>
    </xdr:from>
    <xdr:to>
      <xdr:col>9</xdr:col>
      <xdr:colOff>18310</xdr:colOff>
      <xdr:row>28</xdr:row>
      <xdr:rowOff>171450</xdr:rowOff>
    </xdr:to>
    <xdr:pic>
      <xdr:nvPicPr>
        <xdr:cNvPr id="6" name="図 5">
          <a:extLst>
            <a:ext uri="{FF2B5EF4-FFF2-40B4-BE49-F238E27FC236}">
              <a16:creationId xmlns:a16="http://schemas.microsoft.com/office/drawing/2014/main" id="{54A54D8F-4EAA-6FAF-6BEF-51BE6DB7C3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49" y="3124200"/>
          <a:ext cx="4837961" cy="1676400"/>
        </a:xfrm>
        <a:prstGeom prst="rect">
          <a:avLst/>
        </a:prstGeom>
      </xdr:spPr>
    </xdr:pic>
    <xdr:clientData/>
  </xdr:twoCellAnchor>
  <xdr:twoCellAnchor editAs="oneCell">
    <xdr:from>
      <xdr:col>1</xdr:col>
      <xdr:colOff>38100</xdr:colOff>
      <xdr:row>8</xdr:row>
      <xdr:rowOff>107950</xdr:rowOff>
    </xdr:from>
    <xdr:to>
      <xdr:col>6</xdr:col>
      <xdr:colOff>311150</xdr:colOff>
      <xdr:row>13</xdr:row>
      <xdr:rowOff>112713</xdr:rowOff>
    </xdr:to>
    <xdr:pic>
      <xdr:nvPicPr>
        <xdr:cNvPr id="3" name="図 2">
          <a:extLst>
            <a:ext uri="{FF2B5EF4-FFF2-40B4-BE49-F238E27FC236}">
              <a16:creationId xmlns:a16="http://schemas.microsoft.com/office/drawing/2014/main" id="{1C4D3D9F-A31B-E973-F28C-A716B25047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7700" y="1428750"/>
          <a:ext cx="3321050" cy="8302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257D6-9DBB-45BC-A358-F47A871CEA00}">
  <dimension ref="A1"/>
  <sheetViews>
    <sheetView workbookViewId="0">
      <selection activeCell="E21" sqref="E21"/>
    </sheetView>
  </sheetViews>
  <sheetFormatPr defaultRowHeight="13"/>
  <sheetData/>
  <phoneticPr fontId="1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7A25B-67F5-4EA3-BDEC-B9EF267190F0}">
  <sheetPr codeName="Sheet1"/>
  <dimension ref="B1:R54"/>
  <sheetViews>
    <sheetView showGridLines="0" showRowColHeaders="0" tabSelected="1" showRuler="0" zoomScaleNormal="100" workbookViewId="0">
      <selection activeCell="A32" sqref="A32"/>
    </sheetView>
  </sheetViews>
  <sheetFormatPr defaultRowHeight="13"/>
  <cols>
    <col min="1" max="1" width="5.6328125" customWidth="1"/>
    <col min="2" max="2" width="2" customWidth="1"/>
    <col min="3" max="14" width="11.6328125" customWidth="1"/>
    <col min="15" max="15" width="2.08984375" customWidth="1"/>
  </cols>
  <sheetData>
    <row r="1" spans="2:15" ht="14" customHeight="1" thickBot="1">
      <c r="B1" s="106"/>
      <c r="C1" s="37"/>
      <c r="D1" s="37"/>
      <c r="E1" s="37"/>
      <c r="F1" s="37"/>
      <c r="G1" s="37"/>
      <c r="H1" s="37"/>
      <c r="I1" s="37"/>
      <c r="J1" s="37"/>
      <c r="K1" s="37"/>
      <c r="L1" s="37"/>
      <c r="M1" s="37"/>
      <c r="N1" s="37"/>
      <c r="O1" s="38"/>
    </row>
    <row r="2" spans="2:15" ht="13" customHeight="1">
      <c r="B2" s="39"/>
      <c r="C2" s="128" t="s">
        <v>134</v>
      </c>
      <c r="D2" s="129"/>
      <c r="E2" s="129"/>
      <c r="F2" s="129"/>
      <c r="G2" s="129"/>
      <c r="H2" s="129"/>
      <c r="I2" s="129"/>
      <c r="J2" s="129"/>
      <c r="K2" s="129"/>
      <c r="L2" s="129"/>
      <c r="M2" s="129"/>
      <c r="N2" s="130"/>
      <c r="O2" s="40"/>
    </row>
    <row r="3" spans="2:15" ht="13" customHeight="1">
      <c r="B3" s="39"/>
      <c r="C3" s="131"/>
      <c r="D3" s="132"/>
      <c r="E3" s="132"/>
      <c r="F3" s="132"/>
      <c r="G3" s="132"/>
      <c r="H3" s="132"/>
      <c r="I3" s="132"/>
      <c r="J3" s="132"/>
      <c r="K3" s="132"/>
      <c r="L3" s="132"/>
      <c r="M3" s="132"/>
      <c r="N3" s="133"/>
      <c r="O3" s="40"/>
    </row>
    <row r="4" spans="2:15" ht="13" customHeight="1">
      <c r="B4" s="39"/>
      <c r="C4" s="131"/>
      <c r="D4" s="132"/>
      <c r="E4" s="132"/>
      <c r="F4" s="132"/>
      <c r="G4" s="132"/>
      <c r="H4" s="132"/>
      <c r="I4" s="132"/>
      <c r="J4" s="132"/>
      <c r="K4" s="132"/>
      <c r="L4" s="132"/>
      <c r="M4" s="132"/>
      <c r="N4" s="133"/>
      <c r="O4" s="40"/>
    </row>
    <row r="5" spans="2:15" ht="13" customHeight="1">
      <c r="B5" s="39"/>
      <c r="C5" s="131"/>
      <c r="D5" s="132"/>
      <c r="E5" s="132"/>
      <c r="F5" s="132"/>
      <c r="G5" s="132"/>
      <c r="H5" s="132"/>
      <c r="I5" s="132"/>
      <c r="J5" s="132"/>
      <c r="K5" s="132"/>
      <c r="L5" s="132"/>
      <c r="M5" s="132"/>
      <c r="N5" s="133"/>
      <c r="O5" s="40"/>
    </row>
    <row r="6" spans="2:15" ht="13" customHeight="1">
      <c r="B6" s="39"/>
      <c r="C6" s="131"/>
      <c r="D6" s="132"/>
      <c r="E6" s="132"/>
      <c r="F6" s="132"/>
      <c r="G6" s="132"/>
      <c r="H6" s="132"/>
      <c r="I6" s="132"/>
      <c r="J6" s="132"/>
      <c r="K6" s="132"/>
      <c r="L6" s="132"/>
      <c r="M6" s="132"/>
      <c r="N6" s="133"/>
      <c r="O6" s="40"/>
    </row>
    <row r="7" spans="2:15" ht="13" customHeight="1">
      <c r="B7" s="39"/>
      <c r="C7" s="131"/>
      <c r="D7" s="132"/>
      <c r="E7" s="132"/>
      <c r="F7" s="132"/>
      <c r="G7" s="132"/>
      <c r="H7" s="132"/>
      <c r="I7" s="132"/>
      <c r="J7" s="132"/>
      <c r="K7" s="132"/>
      <c r="L7" s="132"/>
      <c r="M7" s="132"/>
      <c r="N7" s="133"/>
      <c r="O7" s="40"/>
    </row>
    <row r="8" spans="2:15" ht="13" customHeight="1">
      <c r="B8" s="39"/>
      <c r="C8" s="131"/>
      <c r="D8" s="132"/>
      <c r="E8" s="132"/>
      <c r="F8" s="132"/>
      <c r="G8" s="132"/>
      <c r="H8" s="132"/>
      <c r="I8" s="132"/>
      <c r="J8" s="132"/>
      <c r="K8" s="132"/>
      <c r="L8" s="132"/>
      <c r="M8" s="132"/>
      <c r="N8" s="133"/>
      <c r="O8" s="40"/>
    </row>
    <row r="9" spans="2:15" ht="13" customHeight="1">
      <c r="B9" s="39"/>
      <c r="C9" s="131"/>
      <c r="D9" s="132"/>
      <c r="E9" s="132"/>
      <c r="F9" s="132"/>
      <c r="G9" s="132"/>
      <c r="H9" s="132"/>
      <c r="I9" s="132"/>
      <c r="J9" s="132"/>
      <c r="K9" s="132"/>
      <c r="L9" s="132"/>
      <c r="M9" s="132"/>
      <c r="N9" s="133"/>
      <c r="O9" s="40"/>
    </row>
    <row r="10" spans="2:15" ht="13" customHeight="1">
      <c r="B10" s="39"/>
      <c r="C10" s="131"/>
      <c r="D10" s="132"/>
      <c r="E10" s="132"/>
      <c r="F10" s="132"/>
      <c r="G10" s="132"/>
      <c r="H10" s="132"/>
      <c r="I10" s="132"/>
      <c r="J10" s="132"/>
      <c r="K10" s="132"/>
      <c r="L10" s="132"/>
      <c r="M10" s="132"/>
      <c r="N10" s="133"/>
      <c r="O10" s="40"/>
    </row>
    <row r="11" spans="2:15" ht="13" customHeight="1">
      <c r="B11" s="39"/>
      <c r="C11" s="131"/>
      <c r="D11" s="132"/>
      <c r="E11" s="132"/>
      <c r="F11" s="132"/>
      <c r="G11" s="132"/>
      <c r="H11" s="132"/>
      <c r="I11" s="132"/>
      <c r="J11" s="132"/>
      <c r="K11" s="132"/>
      <c r="L11" s="132"/>
      <c r="M11" s="132"/>
      <c r="N11" s="133"/>
      <c r="O11" s="40"/>
    </row>
    <row r="12" spans="2:15" ht="13" customHeight="1">
      <c r="B12" s="39"/>
      <c r="C12" s="131"/>
      <c r="D12" s="132"/>
      <c r="E12" s="132"/>
      <c r="F12" s="132"/>
      <c r="G12" s="132"/>
      <c r="H12" s="132"/>
      <c r="I12" s="132"/>
      <c r="J12" s="132"/>
      <c r="K12" s="132"/>
      <c r="L12" s="132"/>
      <c r="M12" s="132"/>
      <c r="N12" s="133"/>
      <c r="O12" s="40"/>
    </row>
    <row r="13" spans="2:15" ht="13" customHeight="1">
      <c r="B13" s="39"/>
      <c r="C13" s="131"/>
      <c r="D13" s="132"/>
      <c r="E13" s="132"/>
      <c r="F13" s="132"/>
      <c r="G13" s="132"/>
      <c r="H13" s="132"/>
      <c r="I13" s="132"/>
      <c r="J13" s="132"/>
      <c r="K13" s="132"/>
      <c r="L13" s="132"/>
      <c r="M13" s="132"/>
      <c r="N13" s="133"/>
      <c r="O13" s="40"/>
    </row>
    <row r="14" spans="2:15" ht="13" customHeight="1">
      <c r="B14" s="39"/>
      <c r="C14" s="131"/>
      <c r="D14" s="132"/>
      <c r="E14" s="132"/>
      <c r="F14" s="132"/>
      <c r="G14" s="132"/>
      <c r="H14" s="132"/>
      <c r="I14" s="132"/>
      <c r="J14" s="132"/>
      <c r="K14" s="132"/>
      <c r="L14" s="132"/>
      <c r="M14" s="132"/>
      <c r="N14" s="133"/>
      <c r="O14" s="40"/>
    </row>
    <row r="15" spans="2:15" ht="13" customHeight="1">
      <c r="B15" s="39"/>
      <c r="C15" s="131"/>
      <c r="D15" s="132"/>
      <c r="E15" s="132"/>
      <c r="F15" s="132"/>
      <c r="G15" s="132"/>
      <c r="H15" s="132"/>
      <c r="I15" s="132"/>
      <c r="J15" s="132"/>
      <c r="K15" s="132"/>
      <c r="L15" s="132"/>
      <c r="M15" s="132"/>
      <c r="N15" s="133"/>
      <c r="O15" s="40"/>
    </row>
    <row r="16" spans="2:15" ht="13" customHeight="1" thickBot="1">
      <c r="B16" s="39"/>
      <c r="C16" s="134"/>
      <c r="D16" s="135"/>
      <c r="E16" s="135"/>
      <c r="F16" s="135"/>
      <c r="G16" s="135"/>
      <c r="H16" s="135"/>
      <c r="I16" s="135"/>
      <c r="J16" s="135"/>
      <c r="K16" s="135"/>
      <c r="L16" s="135"/>
      <c r="M16" s="135"/>
      <c r="N16" s="136"/>
      <c r="O16" s="40"/>
    </row>
    <row r="17" spans="2:15">
      <c r="B17" s="39"/>
      <c r="C17" s="36"/>
      <c r="D17" s="36"/>
      <c r="E17" s="36"/>
      <c r="F17" s="36"/>
      <c r="G17" s="36"/>
      <c r="H17" s="36"/>
      <c r="I17" s="36"/>
      <c r="J17" s="36"/>
      <c r="K17" s="36"/>
      <c r="L17" s="36"/>
      <c r="M17" s="36"/>
      <c r="N17" s="36"/>
      <c r="O17" s="41"/>
    </row>
    <row r="18" spans="2:15" ht="16.5">
      <c r="B18" s="39"/>
      <c r="C18" s="74" t="s">
        <v>83</v>
      </c>
      <c r="D18" s="42"/>
      <c r="E18" s="42"/>
      <c r="F18" s="43"/>
      <c r="G18" s="146" t="s">
        <v>133</v>
      </c>
      <c r="H18" s="147"/>
      <c r="I18" s="147"/>
      <c r="J18" s="147"/>
      <c r="K18" s="147"/>
      <c r="L18" s="147"/>
      <c r="M18" s="148">
        <f>D33</f>
        <v>46387</v>
      </c>
      <c r="N18" s="149"/>
      <c r="O18" s="40"/>
    </row>
    <row r="19" spans="2:15" ht="18.5">
      <c r="B19" s="39"/>
      <c r="C19" s="75" t="str">
        <f ca="1">IF(D34=0,"*このシートは有効期限が過ぎました。","このシートは正常に動作します。")</f>
        <v>このシートは正常に動作します。</v>
      </c>
      <c r="D19" s="44"/>
      <c r="E19" s="44"/>
      <c r="F19" s="45"/>
      <c r="G19" s="44"/>
      <c r="H19" s="44"/>
      <c r="I19" s="44"/>
      <c r="J19" s="44"/>
      <c r="K19" s="46"/>
      <c r="L19" s="36"/>
      <c r="M19" s="36"/>
      <c r="N19" s="36"/>
      <c r="O19" s="40"/>
    </row>
    <row r="20" spans="2:15" ht="16.5">
      <c r="B20" s="39"/>
      <c r="C20" s="75" t="str">
        <f ca="1">IF(D34=0,"*The validated date of this sheet passed over.","*This sheet is operating normally.")</f>
        <v>*This sheet is operating normally.</v>
      </c>
      <c r="D20" s="44"/>
      <c r="E20" s="44"/>
      <c r="F20" s="44"/>
      <c r="G20" s="44"/>
      <c r="H20" s="44"/>
      <c r="I20" s="44"/>
      <c r="J20" s="47"/>
      <c r="K20" s="143" t="s">
        <v>95</v>
      </c>
      <c r="L20" s="144"/>
      <c r="M20" s="145"/>
      <c r="N20" s="145"/>
      <c r="O20" s="40"/>
    </row>
    <row r="21" spans="2:15" ht="10" customHeight="1" thickBot="1">
      <c r="B21" s="39"/>
      <c r="C21" s="44"/>
      <c r="D21" s="44"/>
      <c r="E21" s="44"/>
      <c r="F21" s="44"/>
      <c r="G21" s="44"/>
      <c r="H21" s="44"/>
      <c r="I21" s="44"/>
      <c r="J21" s="82"/>
      <c r="K21" s="155">
        <f>C31</f>
        <v>0</v>
      </c>
      <c r="L21" s="156"/>
      <c r="M21" s="156"/>
      <c r="N21" s="156"/>
      <c r="O21" s="40"/>
    </row>
    <row r="22" spans="2:15" ht="14">
      <c r="B22" s="39"/>
      <c r="C22" s="105" t="s">
        <v>84</v>
      </c>
      <c r="D22" s="48"/>
      <c r="E22" s="48"/>
      <c r="F22" s="48"/>
      <c r="G22" s="48"/>
      <c r="H22" s="48"/>
      <c r="I22" s="48"/>
      <c r="J22" s="48"/>
      <c r="K22" s="48"/>
      <c r="L22" s="48"/>
      <c r="M22" s="48"/>
      <c r="N22" s="49"/>
      <c r="O22" s="40"/>
    </row>
    <row r="23" spans="2:15">
      <c r="B23" s="39"/>
      <c r="C23" s="50"/>
      <c r="D23" s="51"/>
      <c r="E23" s="51"/>
      <c r="F23" s="51"/>
      <c r="G23" s="51"/>
      <c r="H23" s="51"/>
      <c r="I23" s="51"/>
      <c r="J23" s="51"/>
      <c r="K23" s="51"/>
      <c r="L23" s="51"/>
      <c r="M23" s="51"/>
      <c r="N23" s="52"/>
      <c r="O23" s="40"/>
    </row>
    <row r="24" spans="2:15">
      <c r="B24" s="39"/>
      <c r="C24" s="137" t="str">
        <f ca="1">IF(D34=0,"*新しい計算シートをJEITAホームページから再度ダウンロードして下さい。（最新のJEITA ED-４701/002の冊子の末尾にURLを記載）","*この計算シートには有効期限があります。期限が過ぎた場合は新しいシートをJEITAホームページからダウンロードして下さい。（最新のJEITA ED-４701/002冊子の末尾にURLを記載）")</f>
        <v>*この計算シートには有効期限があります。期限が過ぎた場合は新しいシートをJEITAホームページからダウンロードして下さい。（最新のJEITA ED-４701/002冊子の末尾にURLを記載）</v>
      </c>
      <c r="D24" s="150"/>
      <c r="E24" s="150"/>
      <c r="F24" s="150"/>
      <c r="G24" s="150"/>
      <c r="H24" s="150"/>
      <c r="I24" s="150"/>
      <c r="J24" s="150"/>
      <c r="K24" s="150"/>
      <c r="L24" s="150"/>
      <c r="M24" s="150"/>
      <c r="N24" s="151"/>
      <c r="O24" s="40"/>
    </row>
    <row r="25" spans="2:15">
      <c r="B25" s="39"/>
      <c r="C25" s="152"/>
      <c r="D25" s="153"/>
      <c r="E25" s="153"/>
      <c r="F25" s="153"/>
      <c r="G25" s="153"/>
      <c r="H25" s="153"/>
      <c r="I25" s="153"/>
      <c r="J25" s="153"/>
      <c r="K25" s="153"/>
      <c r="L25" s="153"/>
      <c r="M25" s="153"/>
      <c r="N25" s="154"/>
      <c r="O25" s="40"/>
    </row>
    <row r="26" spans="2:15">
      <c r="B26" s="39"/>
      <c r="C26" s="137" t="str">
        <f ca="1">IF(D34=0,"*Download new spread sheet again from the JEITA web-site. The URL is shown in the end of the JEITA ED-4701/002 newest booklet.","*There is the validated date of this sheet. If it passes over the validated date, please download new spread sheet again from the JEITA web-site. The URL is shown in the end of the JEITA ED-4701/002 newest booklet.")</f>
        <v>*There is the validated date of this sheet. If it passes over the validated date, please download new spread sheet again from the JEITA web-site. The URL is shown in the end of the JEITA ED-4701/002 newest booklet.</v>
      </c>
      <c r="D26" s="138"/>
      <c r="E26" s="138"/>
      <c r="F26" s="138"/>
      <c r="G26" s="138"/>
      <c r="H26" s="138"/>
      <c r="I26" s="138"/>
      <c r="J26" s="138"/>
      <c r="K26" s="138"/>
      <c r="L26" s="138"/>
      <c r="M26" s="138"/>
      <c r="N26" s="139"/>
      <c r="O26" s="40"/>
    </row>
    <row r="27" spans="2:15">
      <c r="B27" s="39"/>
      <c r="C27" s="140"/>
      <c r="D27" s="141"/>
      <c r="E27" s="141"/>
      <c r="F27" s="141"/>
      <c r="G27" s="141"/>
      <c r="H27" s="141"/>
      <c r="I27" s="141"/>
      <c r="J27" s="141"/>
      <c r="K27" s="141"/>
      <c r="L27" s="141"/>
      <c r="M27" s="141"/>
      <c r="N27" s="142"/>
      <c r="O27" s="40"/>
    </row>
    <row r="28" spans="2:15" ht="14.5" thickBot="1">
      <c r="B28" s="39"/>
      <c r="C28" s="53"/>
      <c r="D28" s="54"/>
      <c r="E28" s="54"/>
      <c r="F28" s="54"/>
      <c r="G28" s="54"/>
      <c r="H28" s="54"/>
      <c r="I28" s="54"/>
      <c r="J28" s="54"/>
      <c r="K28" s="54"/>
      <c r="L28" s="54"/>
      <c r="M28" s="54"/>
      <c r="N28" s="55"/>
      <c r="O28" s="40"/>
    </row>
    <row r="29" spans="2:15" ht="13" customHeight="1" thickBot="1">
      <c r="B29" s="56"/>
      <c r="C29" s="57"/>
      <c r="D29" s="57"/>
      <c r="E29" s="57"/>
      <c r="F29" s="57"/>
      <c r="G29" s="57"/>
      <c r="H29" s="57"/>
      <c r="I29" s="57"/>
      <c r="J29" s="57"/>
      <c r="K29" s="57"/>
      <c r="L29" s="57"/>
      <c r="M29" s="57"/>
      <c r="N29" s="57"/>
      <c r="O29" s="58"/>
    </row>
    <row r="30" spans="2:15" ht="13" customHeight="1"/>
    <row r="31" spans="2:15" ht="13" customHeight="1">
      <c r="C31" s="107"/>
      <c r="D31" s="107"/>
      <c r="F31" s="107"/>
      <c r="G31" s="107"/>
      <c r="H31" s="107"/>
    </row>
    <row r="32" spans="2:15" ht="13" hidden="1" customHeight="1" thickBot="1">
      <c r="E32" s="107"/>
      <c r="F32" s="107"/>
      <c r="G32" s="107"/>
    </row>
    <row r="33" spans="3:18" ht="13" hidden="1" customHeight="1" thickBot="1">
      <c r="C33" s="83" t="s">
        <v>105</v>
      </c>
      <c r="D33" s="90">
        <v>46387</v>
      </c>
      <c r="F33" s="86">
        <f>DATEDIF("2010/1/1",D33,"d")</f>
        <v>6208</v>
      </c>
    </row>
    <row r="34" spans="3:18" ht="13" hidden="1" customHeight="1">
      <c r="C34" t="s">
        <v>104</v>
      </c>
      <c r="D34" s="80">
        <f ca="1">IF(F33-F35&gt;=0,1,0)</f>
        <v>1</v>
      </c>
      <c r="F34" s="86"/>
    </row>
    <row r="35" spans="3:18" ht="13" hidden="1" customHeight="1">
      <c r="C35" s="83" t="s">
        <v>86</v>
      </c>
      <c r="D35" s="35">
        <f ca="1">TODAY()</f>
        <v>45950</v>
      </c>
      <c r="F35" s="86">
        <f ca="1">DATEDIF("2010/1/1",D35,"d")</f>
        <v>5771</v>
      </c>
    </row>
    <row r="36" spans="3:18" ht="13" customHeight="1">
      <c r="R36" t="s">
        <v>85</v>
      </c>
    </row>
    <row r="37" spans="3:18" ht="13" customHeight="1"/>
    <row r="38" spans="3:18" ht="13" customHeight="1">
      <c r="C38" s="85"/>
      <c r="D38" s="81"/>
    </row>
    <row r="39" spans="3:18" ht="13" customHeight="1">
      <c r="D39" s="80"/>
    </row>
    <row r="40" spans="3:18" ht="13" customHeight="1">
      <c r="C40" s="83"/>
      <c r="D40" s="80"/>
      <c r="G40" s="80"/>
    </row>
    <row r="41" spans="3:18">
      <c r="C41" s="83"/>
      <c r="D41" s="80"/>
    </row>
    <row r="42" spans="3:18">
      <c r="C42" s="83"/>
    </row>
    <row r="43" spans="3:18">
      <c r="C43" s="83"/>
      <c r="D43" s="35"/>
      <c r="H43" s="81"/>
    </row>
    <row r="44" spans="3:18">
      <c r="C44" s="83"/>
      <c r="D44" s="35"/>
      <c r="H44" s="81"/>
    </row>
    <row r="45" spans="3:18">
      <c r="C45" s="83"/>
      <c r="D45" s="35"/>
      <c r="H45" s="81"/>
    </row>
    <row r="46" spans="3:18">
      <c r="C46" s="84"/>
      <c r="D46" s="35"/>
      <c r="H46" s="81"/>
    </row>
    <row r="47" spans="3:18">
      <c r="C47" s="85"/>
      <c r="D47" s="35"/>
      <c r="E47" s="81"/>
      <c r="G47" s="83"/>
      <c r="H47" s="86"/>
    </row>
    <row r="48" spans="3:18">
      <c r="C48" s="83"/>
      <c r="D48" s="80"/>
      <c r="G48" s="83"/>
      <c r="H48" s="86"/>
    </row>
    <row r="49" spans="3:8">
      <c r="C49" s="83"/>
      <c r="D49" s="87"/>
      <c r="H49" s="81"/>
    </row>
    <row r="50" spans="3:8">
      <c r="C50" s="83"/>
      <c r="D50" s="87"/>
      <c r="H50" s="81"/>
    </row>
    <row r="51" spans="3:8">
      <c r="C51" s="83"/>
      <c r="D51" s="87"/>
      <c r="H51" s="81"/>
    </row>
    <row r="52" spans="3:8">
      <c r="C52" s="83"/>
      <c r="D52" s="87"/>
      <c r="H52" s="81"/>
    </row>
    <row r="53" spans="3:8">
      <c r="C53" s="83"/>
      <c r="D53" s="88"/>
      <c r="H53" s="81"/>
    </row>
    <row r="54" spans="3:8">
      <c r="C54" s="83"/>
      <c r="D54" s="88"/>
      <c r="H54" s="81"/>
    </row>
  </sheetData>
  <sheetProtection algorithmName="SHA-512" hashValue="URMgir2nLDPmDdk/9QMNu3JzwqrNJrKYBeLwNHSvPISThPM0qnAJ9n0Er/y47+BHqOHHY3sBSr11JfeS4NHqHw==" saltValue="+aFYIhji9wk0oZYoUYytYw==" spinCount="100000" sheet="1" objects="1" scenarios="1" selectLockedCells="1"/>
  <mergeCells count="8">
    <mergeCell ref="C2:N16"/>
    <mergeCell ref="C26:N27"/>
    <mergeCell ref="K20:L20"/>
    <mergeCell ref="M20:N20"/>
    <mergeCell ref="G18:L18"/>
    <mergeCell ref="M18:N18"/>
    <mergeCell ref="C24:N25"/>
    <mergeCell ref="K21:N21"/>
  </mergeCells>
  <phoneticPr fontId="1"/>
  <conditionalFormatting sqref="C19:G20">
    <cfRule type="expression" dxfId="59" priority="1" stopIfTrue="1">
      <formula>$D$34=0</formula>
    </cfRule>
  </conditionalFormatting>
  <conditionalFormatting sqref="C22:N28">
    <cfRule type="expression" dxfId="58" priority="2" stopIfTrue="1">
      <formula>$D$34=0</formula>
    </cfRule>
  </conditionalFormatting>
  <conditionalFormatting sqref="K20:L20">
    <cfRule type="expression" dxfId="57" priority="4" stopIfTrue="1">
      <formula>$C$32=1</formula>
    </cfRule>
  </conditionalFormatting>
  <conditionalFormatting sqref="M20:N20">
    <cfRule type="expression" dxfId="56" priority="3" stopIfTrue="1">
      <formula>$C$32=1</formula>
    </cfRule>
  </conditionalFormatting>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D03B5-7E6B-450B-BBC2-CD04549E1D1C}">
  <sheetPr codeName="Sheet2"/>
  <dimension ref="A1:AY60"/>
  <sheetViews>
    <sheetView showGridLines="0" showRowColHeaders="0" zoomScale="99" zoomScaleNormal="99" workbookViewId="0">
      <selection activeCell="B16" sqref="B16:F16"/>
    </sheetView>
  </sheetViews>
  <sheetFormatPr defaultColWidth="9" defaultRowHeight="14"/>
  <cols>
    <col min="1" max="1" width="2.6328125" style="1" customWidth="1"/>
    <col min="2" max="46" width="3.54296875" style="1" customWidth="1"/>
    <col min="47" max="49" width="3.54296875" style="1" hidden="1" customWidth="1"/>
    <col min="50" max="50" width="3.54296875" style="1" customWidth="1"/>
    <col min="51" max="16384" width="9" style="1"/>
  </cols>
  <sheetData>
    <row r="1" spans="1:49" ht="5" customHeight="1" thickBot="1">
      <c r="A1" s="78" t="s">
        <v>87</v>
      </c>
    </row>
    <row r="2" spans="1:49" ht="27" customHeight="1" thickBot="1">
      <c r="B2" s="352" t="s">
        <v>76</v>
      </c>
      <c r="C2" s="353"/>
      <c r="D2" s="353"/>
      <c r="E2" s="353"/>
      <c r="F2" s="353"/>
      <c r="G2" s="353"/>
      <c r="H2" s="353"/>
      <c r="I2" s="353"/>
      <c r="J2" s="353"/>
      <c r="K2" s="353"/>
      <c r="L2" s="353"/>
      <c r="M2" s="353"/>
      <c r="N2" s="353"/>
      <c r="O2" s="353"/>
      <c r="P2" s="353"/>
      <c r="Q2" s="353"/>
      <c r="R2" s="353"/>
      <c r="S2" s="353"/>
      <c r="U2" s="359" t="s">
        <v>132</v>
      </c>
      <c r="V2" s="360"/>
      <c r="W2" s="360"/>
      <c r="X2" s="360"/>
      <c r="Y2" s="360"/>
      <c r="Z2" s="360"/>
      <c r="AA2" s="360"/>
      <c r="AB2" s="361"/>
      <c r="AC2" s="157">
        <v>10</v>
      </c>
      <c r="AD2" s="362"/>
      <c r="AF2" s="329" t="s">
        <v>112</v>
      </c>
      <c r="AG2" s="330"/>
      <c r="AH2" s="330"/>
      <c r="AI2" s="330"/>
      <c r="AJ2" s="331"/>
      <c r="AK2" s="332">
        <v>100</v>
      </c>
      <c r="AL2" s="333"/>
    </row>
    <row r="3" spans="1:49" ht="5" customHeight="1" thickBot="1"/>
    <row r="4" spans="1:49" ht="26" customHeight="1" thickBot="1">
      <c r="B4" s="354" t="s">
        <v>153</v>
      </c>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6"/>
      <c r="AF4" s="358" t="s">
        <v>113</v>
      </c>
      <c r="AG4" s="355"/>
      <c r="AH4" s="355"/>
      <c r="AI4" s="355"/>
      <c r="AJ4" s="355"/>
      <c r="AK4" s="355"/>
      <c r="AL4" s="355"/>
      <c r="AM4" s="355"/>
      <c r="AN4" s="355"/>
      <c r="AO4" s="355"/>
      <c r="AP4" s="355"/>
      <c r="AQ4" s="355"/>
      <c r="AR4" s="355"/>
      <c r="AS4" s="355"/>
      <c r="AT4" s="356"/>
      <c r="AU4" s="32"/>
    </row>
    <row r="5" spans="1:49" s="4" customFormat="1" ht="11" customHeight="1">
      <c r="B5" s="186" t="s">
        <v>47</v>
      </c>
      <c r="C5" s="347"/>
      <c r="D5" s="347"/>
      <c r="E5" s="347"/>
      <c r="F5" s="363"/>
      <c r="G5" s="192" t="s">
        <v>149</v>
      </c>
      <c r="H5" s="347"/>
      <c r="I5" s="347"/>
      <c r="J5" s="347"/>
      <c r="K5" s="363"/>
      <c r="L5" s="192" t="s">
        <v>148</v>
      </c>
      <c r="M5" s="347"/>
      <c r="N5" s="347"/>
      <c r="O5" s="347"/>
      <c r="P5" s="363"/>
      <c r="Q5" s="342"/>
      <c r="R5" s="251"/>
      <c r="S5" s="251"/>
      <c r="T5" s="251"/>
      <c r="U5" s="343"/>
      <c r="V5" s="192" t="s">
        <v>55</v>
      </c>
      <c r="W5" s="347"/>
      <c r="X5" s="347"/>
      <c r="Y5" s="347"/>
      <c r="Z5" s="347"/>
      <c r="AA5" s="347"/>
      <c r="AB5" s="347"/>
      <c r="AC5" s="347"/>
      <c r="AD5" s="348"/>
      <c r="AF5" s="186" t="s">
        <v>139</v>
      </c>
      <c r="AG5" s="347"/>
      <c r="AH5" s="347"/>
      <c r="AI5" s="347"/>
      <c r="AJ5" s="363"/>
      <c r="AK5" s="368"/>
      <c r="AL5" s="369"/>
      <c r="AM5" s="369"/>
      <c r="AN5" s="369"/>
      <c r="AO5" s="370"/>
      <c r="AP5" s="192" t="s">
        <v>1</v>
      </c>
      <c r="AQ5" s="347"/>
      <c r="AR5" s="347"/>
      <c r="AS5" s="347"/>
      <c r="AT5" s="348"/>
      <c r="AU5" s="92"/>
    </row>
    <row r="6" spans="1:49" s="4" customFormat="1" ht="11" customHeight="1" thickBot="1">
      <c r="B6" s="364"/>
      <c r="C6" s="350"/>
      <c r="D6" s="350"/>
      <c r="E6" s="350"/>
      <c r="F6" s="365"/>
      <c r="G6" s="349"/>
      <c r="H6" s="350"/>
      <c r="I6" s="350"/>
      <c r="J6" s="350"/>
      <c r="K6" s="365"/>
      <c r="L6" s="349"/>
      <c r="M6" s="350"/>
      <c r="N6" s="350"/>
      <c r="O6" s="350"/>
      <c r="P6" s="365"/>
      <c r="Q6" s="344"/>
      <c r="R6" s="345"/>
      <c r="S6" s="345"/>
      <c r="T6" s="345"/>
      <c r="U6" s="346"/>
      <c r="V6" s="349"/>
      <c r="W6" s="350"/>
      <c r="X6" s="350"/>
      <c r="Y6" s="350"/>
      <c r="Z6" s="350"/>
      <c r="AA6" s="350"/>
      <c r="AB6" s="350"/>
      <c r="AC6" s="350"/>
      <c r="AD6" s="351"/>
      <c r="AF6" s="364"/>
      <c r="AG6" s="350"/>
      <c r="AH6" s="350"/>
      <c r="AI6" s="350"/>
      <c r="AJ6" s="365"/>
      <c r="AK6" s="371"/>
      <c r="AL6" s="372"/>
      <c r="AM6" s="372"/>
      <c r="AN6" s="372"/>
      <c r="AO6" s="373"/>
      <c r="AP6" s="349"/>
      <c r="AQ6" s="350"/>
      <c r="AR6" s="350"/>
      <c r="AS6" s="350"/>
      <c r="AT6" s="351"/>
      <c r="AU6" s="92"/>
    </row>
    <row r="7" spans="1:49" ht="12" customHeight="1">
      <c r="B7" s="336">
        <v>40</v>
      </c>
      <c r="C7" s="337"/>
      <c r="D7" s="337"/>
      <c r="E7" s="337"/>
      <c r="F7" s="337"/>
      <c r="G7" s="337">
        <v>30</v>
      </c>
      <c r="H7" s="337"/>
      <c r="I7" s="337"/>
      <c r="J7" s="337"/>
      <c r="K7" s="337"/>
      <c r="L7" s="338">
        <f t="shared" ref="L7" si="0">IF(AU7=0,"",8760*$AC$2*G7/100*$AK$2/100)</f>
        <v>26280</v>
      </c>
      <c r="M7" s="338"/>
      <c r="N7" s="338"/>
      <c r="O7" s="338"/>
      <c r="P7" s="338"/>
      <c r="Q7" s="339"/>
      <c r="R7" s="339"/>
      <c r="S7" s="339"/>
      <c r="T7" s="339"/>
      <c r="U7" s="339"/>
      <c r="V7" s="340"/>
      <c r="W7" s="340"/>
      <c r="X7" s="340"/>
      <c r="Y7" s="340"/>
      <c r="Z7" s="340"/>
      <c r="AA7" s="340"/>
      <c r="AB7" s="340"/>
      <c r="AC7" s="340"/>
      <c r="AD7" s="341"/>
      <c r="AE7" s="4"/>
      <c r="AF7" s="366">
        <f>IF(AV7=0,"",$R$36*EXP($B$30/0.00008617*(1/(B7+273.15)-1/($B$25+273.15)))*(EXP($G$30*($G$25-$B$21)))+$R$37*EXP($B$30/0.00008617*(1/(B7+273.15)-1/($B$25+273.15)))*($G$25/$B$21)^$L$30)</f>
        <v>1878.2805353392196</v>
      </c>
      <c r="AG7" s="367"/>
      <c r="AH7" s="367"/>
      <c r="AI7" s="367"/>
      <c r="AJ7" s="367"/>
      <c r="AK7" s="357"/>
      <c r="AL7" s="357"/>
      <c r="AM7" s="357"/>
      <c r="AN7" s="357"/>
      <c r="AO7" s="357"/>
      <c r="AP7" s="334">
        <f>IF(AW7=0,"",L7/AF7)</f>
        <v>13.991520172599671</v>
      </c>
      <c r="AQ7" s="334"/>
      <c r="AR7" s="334"/>
      <c r="AS7" s="334"/>
      <c r="AT7" s="335"/>
      <c r="AU7" s="126">
        <f>IF(G7="",0,1)*IF($AC$2="",0,1)*IF($AK$2="",0,1)</f>
        <v>1</v>
      </c>
      <c r="AV7" s="126">
        <f>IF(B7="",0,1)*($R$36*$S$36+$R$37*$S$37)</f>
        <v>1</v>
      </c>
      <c r="AW7" s="127">
        <f>IF(L7="",0,1)*IF(AF7="",0,1)</f>
        <v>1</v>
      </c>
    </row>
    <row r="8" spans="1:49" ht="12" customHeight="1">
      <c r="B8" s="303">
        <v>50</v>
      </c>
      <c r="C8" s="300"/>
      <c r="D8" s="300"/>
      <c r="E8" s="300"/>
      <c r="F8" s="300"/>
      <c r="G8" s="300">
        <v>20</v>
      </c>
      <c r="H8" s="300"/>
      <c r="I8" s="300"/>
      <c r="J8" s="300"/>
      <c r="K8" s="300"/>
      <c r="L8" s="301">
        <f t="shared" ref="L8:L9" si="1">IF(AU8=0,"",8760*$AC$2*G8/100*$AK$2/100)</f>
        <v>17520</v>
      </c>
      <c r="M8" s="301"/>
      <c r="N8" s="301"/>
      <c r="O8" s="301"/>
      <c r="P8" s="301"/>
      <c r="Q8" s="302"/>
      <c r="R8" s="302"/>
      <c r="S8" s="302"/>
      <c r="T8" s="302"/>
      <c r="U8" s="302"/>
      <c r="V8" s="316"/>
      <c r="W8" s="316"/>
      <c r="X8" s="316"/>
      <c r="Y8" s="316"/>
      <c r="Z8" s="316"/>
      <c r="AA8" s="316"/>
      <c r="AB8" s="316"/>
      <c r="AC8" s="316"/>
      <c r="AD8" s="317"/>
      <c r="AE8" s="4"/>
      <c r="AF8" s="310">
        <f t="shared" ref="AF8:AF16" si="2">IF(AV8=0,"",$R$36*EXP($B$30/0.00008617*(1/(B8+273.15)-1/($B$25+273.15)))*(EXP($G$30*($G$25-$B$21)))+$R$37*EXP($B$30/0.00008617*(1/(B8+273.15)-1/($B$25+273.15)))*($G$25/$B$21)^$L$30)</f>
        <v>841.64026303599098</v>
      </c>
      <c r="AG8" s="311"/>
      <c r="AH8" s="311"/>
      <c r="AI8" s="311"/>
      <c r="AJ8" s="311"/>
      <c r="AK8" s="312"/>
      <c r="AL8" s="312"/>
      <c r="AM8" s="312"/>
      <c r="AN8" s="312"/>
      <c r="AO8" s="312"/>
      <c r="AP8" s="314">
        <f t="shared" ref="AP8:AP16" si="3">IF(AW8=0,"",L8/AF8)</f>
        <v>20.816494611131496</v>
      </c>
      <c r="AQ8" s="314"/>
      <c r="AR8" s="314"/>
      <c r="AS8" s="314"/>
      <c r="AT8" s="315"/>
      <c r="AU8" s="126">
        <f>IF(G8="",0,1)*IF($AC$2="",0,1)*IF($AK$2="",0,1)</f>
        <v>1</v>
      </c>
      <c r="AV8" s="126">
        <f t="shared" ref="AV8:AV16" si="4">IF(B8="",0,1)*($R$36*$S$36+$R$37*$S$37)</f>
        <v>1</v>
      </c>
      <c r="AW8" s="127">
        <f t="shared" ref="AW8:AW16" si="5">IF(L8="",0,1)*IF(AF8="",0,1)</f>
        <v>1</v>
      </c>
    </row>
    <row r="9" spans="1:49" ht="12" customHeight="1">
      <c r="B9" s="303">
        <v>60</v>
      </c>
      <c r="C9" s="304"/>
      <c r="D9" s="304"/>
      <c r="E9" s="304"/>
      <c r="F9" s="304"/>
      <c r="G9" s="300">
        <v>20</v>
      </c>
      <c r="H9" s="304"/>
      <c r="I9" s="304"/>
      <c r="J9" s="304"/>
      <c r="K9" s="304"/>
      <c r="L9" s="301">
        <f t="shared" si="1"/>
        <v>17520</v>
      </c>
      <c r="M9" s="301"/>
      <c r="N9" s="301"/>
      <c r="O9" s="301"/>
      <c r="P9" s="301"/>
      <c r="Q9" s="305"/>
      <c r="R9" s="325"/>
      <c r="S9" s="325"/>
      <c r="T9" s="325"/>
      <c r="U9" s="326"/>
      <c r="V9" s="318"/>
      <c r="W9" s="327"/>
      <c r="X9" s="327"/>
      <c r="Y9" s="327"/>
      <c r="Z9" s="327"/>
      <c r="AA9" s="327"/>
      <c r="AB9" s="327"/>
      <c r="AC9" s="327"/>
      <c r="AD9" s="328"/>
      <c r="AE9" s="4"/>
      <c r="AF9" s="310">
        <f t="shared" si="2"/>
        <v>395.75106971945598</v>
      </c>
      <c r="AG9" s="311"/>
      <c r="AH9" s="311"/>
      <c r="AI9" s="311"/>
      <c r="AJ9" s="311"/>
      <c r="AK9" s="312"/>
      <c r="AL9" s="324"/>
      <c r="AM9" s="324"/>
      <c r="AN9" s="324"/>
      <c r="AO9" s="324"/>
      <c r="AP9" s="314">
        <f t="shared" si="3"/>
        <v>44.270253046744145</v>
      </c>
      <c r="AQ9" s="314"/>
      <c r="AR9" s="314"/>
      <c r="AS9" s="314"/>
      <c r="AT9" s="315"/>
      <c r="AU9" s="126">
        <f t="shared" ref="AU9:AU16" si="6">IF(G9="",0,1)*IF($AC$2="",0,1)*IF($AK$2="",0,1)</f>
        <v>1</v>
      </c>
      <c r="AV9" s="126">
        <f t="shared" si="4"/>
        <v>1</v>
      </c>
      <c r="AW9" s="127">
        <f t="shared" si="5"/>
        <v>1</v>
      </c>
    </row>
    <row r="10" spans="1:49" ht="12" customHeight="1">
      <c r="B10" s="303">
        <v>70</v>
      </c>
      <c r="C10" s="304"/>
      <c r="D10" s="304"/>
      <c r="E10" s="304"/>
      <c r="F10" s="304"/>
      <c r="G10" s="300">
        <v>20</v>
      </c>
      <c r="H10" s="304"/>
      <c r="I10" s="304"/>
      <c r="J10" s="304"/>
      <c r="K10" s="304"/>
      <c r="L10" s="301">
        <f t="shared" ref="L10:L16" si="7">IF(AU10=0,"",8760*$AC$2*G10/100*$AK$2/100)</f>
        <v>17520</v>
      </c>
      <c r="M10" s="301"/>
      <c r="N10" s="301"/>
      <c r="O10" s="301"/>
      <c r="P10" s="301"/>
      <c r="Q10" s="305"/>
      <c r="R10" s="325"/>
      <c r="S10" s="325"/>
      <c r="T10" s="325"/>
      <c r="U10" s="326"/>
      <c r="V10" s="318"/>
      <c r="W10" s="327"/>
      <c r="X10" s="327"/>
      <c r="Y10" s="327"/>
      <c r="Z10" s="327"/>
      <c r="AA10" s="327"/>
      <c r="AB10" s="327"/>
      <c r="AC10" s="327"/>
      <c r="AD10" s="328"/>
      <c r="AE10" s="4"/>
      <c r="AF10" s="310">
        <f t="shared" si="2"/>
        <v>194.45426247797607</v>
      </c>
      <c r="AG10" s="311"/>
      <c r="AH10" s="311"/>
      <c r="AI10" s="311"/>
      <c r="AJ10" s="311"/>
      <c r="AK10" s="312"/>
      <c r="AL10" s="324"/>
      <c r="AM10" s="324"/>
      <c r="AN10" s="324"/>
      <c r="AO10" s="324"/>
      <c r="AP10" s="314">
        <f t="shared" si="3"/>
        <v>90.098307832076031</v>
      </c>
      <c r="AQ10" s="314"/>
      <c r="AR10" s="314"/>
      <c r="AS10" s="314"/>
      <c r="AT10" s="315"/>
      <c r="AU10" s="126">
        <f t="shared" si="6"/>
        <v>1</v>
      </c>
      <c r="AV10" s="126">
        <f t="shared" si="4"/>
        <v>1</v>
      </c>
      <c r="AW10" s="127">
        <f t="shared" si="5"/>
        <v>1</v>
      </c>
    </row>
    <row r="11" spans="1:49" ht="12" customHeight="1">
      <c r="B11" s="303">
        <v>80</v>
      </c>
      <c r="C11" s="304"/>
      <c r="D11" s="304"/>
      <c r="E11" s="304"/>
      <c r="F11" s="304"/>
      <c r="G11" s="300">
        <v>10</v>
      </c>
      <c r="H11" s="304"/>
      <c r="I11" s="304"/>
      <c r="J11" s="304"/>
      <c r="K11" s="304"/>
      <c r="L11" s="301">
        <f t="shared" si="7"/>
        <v>8760</v>
      </c>
      <c r="M11" s="301"/>
      <c r="N11" s="301"/>
      <c r="O11" s="301"/>
      <c r="P11" s="301"/>
      <c r="Q11" s="305"/>
      <c r="R11" s="325"/>
      <c r="S11" s="325"/>
      <c r="T11" s="325"/>
      <c r="U11" s="326"/>
      <c r="V11" s="318"/>
      <c r="W11" s="327"/>
      <c r="X11" s="327"/>
      <c r="Y11" s="327"/>
      <c r="Z11" s="327"/>
      <c r="AA11" s="327"/>
      <c r="AB11" s="327"/>
      <c r="AC11" s="327"/>
      <c r="AD11" s="328"/>
      <c r="AE11" s="4"/>
      <c r="AF11" s="310">
        <f t="shared" si="2"/>
        <v>99.469536070272994</v>
      </c>
      <c r="AG11" s="311"/>
      <c r="AH11" s="311"/>
      <c r="AI11" s="311"/>
      <c r="AJ11" s="311"/>
      <c r="AK11" s="312"/>
      <c r="AL11" s="324"/>
      <c r="AM11" s="324"/>
      <c r="AN11" s="324"/>
      <c r="AO11" s="324"/>
      <c r="AP11" s="314">
        <f t="shared" si="3"/>
        <v>88.067164541827722</v>
      </c>
      <c r="AQ11" s="314"/>
      <c r="AR11" s="314"/>
      <c r="AS11" s="314"/>
      <c r="AT11" s="315"/>
      <c r="AU11" s="126">
        <f t="shared" si="6"/>
        <v>1</v>
      </c>
      <c r="AV11" s="126">
        <f t="shared" si="4"/>
        <v>1</v>
      </c>
      <c r="AW11" s="127">
        <f t="shared" si="5"/>
        <v>1</v>
      </c>
    </row>
    <row r="12" spans="1:49" ht="12" customHeight="1">
      <c r="B12" s="303"/>
      <c r="C12" s="300"/>
      <c r="D12" s="300"/>
      <c r="E12" s="300"/>
      <c r="F12" s="300"/>
      <c r="G12" s="300"/>
      <c r="H12" s="300"/>
      <c r="I12" s="300"/>
      <c r="J12" s="300"/>
      <c r="K12" s="300"/>
      <c r="L12" s="301" t="str">
        <f t="shared" si="7"/>
        <v/>
      </c>
      <c r="M12" s="301"/>
      <c r="N12" s="301"/>
      <c r="O12" s="301"/>
      <c r="P12" s="301"/>
      <c r="Q12" s="302"/>
      <c r="R12" s="302"/>
      <c r="S12" s="302"/>
      <c r="T12" s="302"/>
      <c r="U12" s="302"/>
      <c r="V12" s="316"/>
      <c r="W12" s="316"/>
      <c r="X12" s="316"/>
      <c r="Y12" s="316"/>
      <c r="Z12" s="316"/>
      <c r="AA12" s="316"/>
      <c r="AB12" s="316"/>
      <c r="AC12" s="316"/>
      <c r="AD12" s="317"/>
      <c r="AE12" s="4"/>
      <c r="AF12" s="310" t="str">
        <f t="shared" si="2"/>
        <v/>
      </c>
      <c r="AG12" s="311"/>
      <c r="AH12" s="311"/>
      <c r="AI12" s="311"/>
      <c r="AJ12" s="311"/>
      <c r="AK12" s="312"/>
      <c r="AL12" s="312"/>
      <c r="AM12" s="312"/>
      <c r="AN12" s="312"/>
      <c r="AO12" s="312"/>
      <c r="AP12" s="314" t="str">
        <f t="shared" si="3"/>
        <v/>
      </c>
      <c r="AQ12" s="314"/>
      <c r="AR12" s="314"/>
      <c r="AS12" s="314"/>
      <c r="AT12" s="315"/>
      <c r="AU12" s="126">
        <f t="shared" si="6"/>
        <v>0</v>
      </c>
      <c r="AV12" s="126">
        <f t="shared" si="4"/>
        <v>0</v>
      </c>
      <c r="AW12" s="127">
        <f t="shared" si="5"/>
        <v>0</v>
      </c>
    </row>
    <row r="13" spans="1:49" ht="12" customHeight="1">
      <c r="B13" s="303"/>
      <c r="C13" s="300"/>
      <c r="D13" s="300"/>
      <c r="E13" s="300"/>
      <c r="F13" s="300"/>
      <c r="G13" s="300"/>
      <c r="H13" s="300"/>
      <c r="I13" s="300"/>
      <c r="J13" s="300"/>
      <c r="K13" s="300"/>
      <c r="L13" s="301" t="str">
        <f t="shared" si="7"/>
        <v/>
      </c>
      <c r="M13" s="301"/>
      <c r="N13" s="301"/>
      <c r="O13" s="301"/>
      <c r="P13" s="301"/>
      <c r="Q13" s="302"/>
      <c r="R13" s="302"/>
      <c r="S13" s="302"/>
      <c r="T13" s="302"/>
      <c r="U13" s="302"/>
      <c r="V13" s="316"/>
      <c r="W13" s="316"/>
      <c r="X13" s="316"/>
      <c r="Y13" s="316"/>
      <c r="Z13" s="316"/>
      <c r="AA13" s="316"/>
      <c r="AB13" s="316"/>
      <c r="AC13" s="316"/>
      <c r="AD13" s="317"/>
      <c r="AE13" s="4"/>
      <c r="AF13" s="310" t="str">
        <f t="shared" si="2"/>
        <v/>
      </c>
      <c r="AG13" s="311"/>
      <c r="AH13" s="311"/>
      <c r="AI13" s="311"/>
      <c r="AJ13" s="311"/>
      <c r="AK13" s="312"/>
      <c r="AL13" s="312"/>
      <c r="AM13" s="312"/>
      <c r="AN13" s="312"/>
      <c r="AO13" s="312"/>
      <c r="AP13" s="314" t="str">
        <f t="shared" si="3"/>
        <v/>
      </c>
      <c r="AQ13" s="314"/>
      <c r="AR13" s="314"/>
      <c r="AS13" s="314"/>
      <c r="AT13" s="315"/>
      <c r="AU13" s="126">
        <f t="shared" si="6"/>
        <v>0</v>
      </c>
      <c r="AV13" s="126">
        <f t="shared" si="4"/>
        <v>0</v>
      </c>
      <c r="AW13" s="127">
        <f t="shared" si="5"/>
        <v>0</v>
      </c>
    </row>
    <row r="14" spans="1:49" ht="12" customHeight="1">
      <c r="B14" s="303"/>
      <c r="C14" s="304"/>
      <c r="D14" s="304"/>
      <c r="E14" s="304"/>
      <c r="F14" s="304"/>
      <c r="G14" s="300"/>
      <c r="H14" s="304"/>
      <c r="I14" s="304"/>
      <c r="J14" s="304"/>
      <c r="K14" s="304"/>
      <c r="L14" s="301" t="str">
        <f t="shared" si="7"/>
        <v/>
      </c>
      <c r="M14" s="301"/>
      <c r="N14" s="301"/>
      <c r="O14" s="301"/>
      <c r="P14" s="301"/>
      <c r="Q14" s="305"/>
      <c r="R14" s="306"/>
      <c r="S14" s="306"/>
      <c r="T14" s="306"/>
      <c r="U14" s="307"/>
      <c r="V14" s="318"/>
      <c r="W14" s="319"/>
      <c r="X14" s="319"/>
      <c r="Y14" s="319"/>
      <c r="Z14" s="319"/>
      <c r="AA14" s="319"/>
      <c r="AB14" s="319"/>
      <c r="AC14" s="319"/>
      <c r="AD14" s="320"/>
      <c r="AE14" s="4"/>
      <c r="AF14" s="310" t="str">
        <f t="shared" si="2"/>
        <v/>
      </c>
      <c r="AG14" s="311"/>
      <c r="AH14" s="311"/>
      <c r="AI14" s="311"/>
      <c r="AJ14" s="311"/>
      <c r="AK14" s="312"/>
      <c r="AL14" s="313"/>
      <c r="AM14" s="313"/>
      <c r="AN14" s="313"/>
      <c r="AO14" s="313"/>
      <c r="AP14" s="314" t="str">
        <f t="shared" si="3"/>
        <v/>
      </c>
      <c r="AQ14" s="314"/>
      <c r="AR14" s="314"/>
      <c r="AS14" s="314"/>
      <c r="AT14" s="315"/>
      <c r="AU14" s="126">
        <f t="shared" si="6"/>
        <v>0</v>
      </c>
      <c r="AV14" s="126">
        <f t="shared" si="4"/>
        <v>0</v>
      </c>
      <c r="AW14" s="127">
        <f t="shared" si="5"/>
        <v>0</v>
      </c>
    </row>
    <row r="15" spans="1:49" ht="12" customHeight="1">
      <c r="B15" s="303"/>
      <c r="C15" s="304"/>
      <c r="D15" s="304"/>
      <c r="E15" s="304"/>
      <c r="F15" s="304"/>
      <c r="G15" s="300"/>
      <c r="H15" s="304"/>
      <c r="I15" s="304"/>
      <c r="J15" s="304"/>
      <c r="K15" s="304"/>
      <c r="L15" s="301" t="str">
        <f t="shared" si="7"/>
        <v/>
      </c>
      <c r="M15" s="301"/>
      <c r="N15" s="301"/>
      <c r="O15" s="301"/>
      <c r="P15" s="301"/>
      <c r="Q15" s="305"/>
      <c r="R15" s="306"/>
      <c r="S15" s="306"/>
      <c r="T15" s="306"/>
      <c r="U15" s="307"/>
      <c r="V15" s="318"/>
      <c r="W15" s="319"/>
      <c r="X15" s="319"/>
      <c r="Y15" s="319"/>
      <c r="Z15" s="319"/>
      <c r="AA15" s="319"/>
      <c r="AB15" s="319"/>
      <c r="AC15" s="319"/>
      <c r="AD15" s="320"/>
      <c r="AE15" s="4"/>
      <c r="AF15" s="310" t="str">
        <f t="shared" si="2"/>
        <v/>
      </c>
      <c r="AG15" s="311"/>
      <c r="AH15" s="311"/>
      <c r="AI15" s="311"/>
      <c r="AJ15" s="311"/>
      <c r="AK15" s="312"/>
      <c r="AL15" s="313"/>
      <c r="AM15" s="313"/>
      <c r="AN15" s="313"/>
      <c r="AO15" s="313"/>
      <c r="AP15" s="314" t="str">
        <f t="shared" si="3"/>
        <v/>
      </c>
      <c r="AQ15" s="314"/>
      <c r="AR15" s="314"/>
      <c r="AS15" s="314"/>
      <c r="AT15" s="315"/>
      <c r="AU15" s="126">
        <f t="shared" si="6"/>
        <v>0</v>
      </c>
      <c r="AV15" s="126">
        <f t="shared" si="4"/>
        <v>0</v>
      </c>
      <c r="AW15" s="127">
        <f t="shared" si="5"/>
        <v>0</v>
      </c>
    </row>
    <row r="16" spans="1:49" ht="12" customHeight="1" thickBot="1">
      <c r="B16" s="261"/>
      <c r="C16" s="262"/>
      <c r="D16" s="262"/>
      <c r="E16" s="262"/>
      <c r="F16" s="262"/>
      <c r="G16" s="263"/>
      <c r="H16" s="262"/>
      <c r="I16" s="262"/>
      <c r="J16" s="262"/>
      <c r="K16" s="262"/>
      <c r="L16" s="264" t="str">
        <f t="shared" si="7"/>
        <v/>
      </c>
      <c r="M16" s="264"/>
      <c r="N16" s="264"/>
      <c r="O16" s="264"/>
      <c r="P16" s="264"/>
      <c r="Q16" s="267"/>
      <c r="R16" s="267"/>
      <c r="S16" s="267"/>
      <c r="T16" s="267"/>
      <c r="U16" s="267"/>
      <c r="V16" s="265"/>
      <c r="W16" s="265"/>
      <c r="X16" s="265"/>
      <c r="Y16" s="265"/>
      <c r="Z16" s="265"/>
      <c r="AA16" s="265"/>
      <c r="AB16" s="265"/>
      <c r="AC16" s="265"/>
      <c r="AD16" s="266"/>
      <c r="AE16" s="4"/>
      <c r="AF16" s="322" t="str">
        <f t="shared" si="2"/>
        <v/>
      </c>
      <c r="AG16" s="323"/>
      <c r="AH16" s="323"/>
      <c r="AI16" s="323"/>
      <c r="AJ16" s="323"/>
      <c r="AK16" s="321"/>
      <c r="AL16" s="321"/>
      <c r="AM16" s="321"/>
      <c r="AN16" s="321"/>
      <c r="AO16" s="321"/>
      <c r="AP16" s="308" t="str">
        <f t="shared" si="3"/>
        <v/>
      </c>
      <c r="AQ16" s="308"/>
      <c r="AR16" s="308"/>
      <c r="AS16" s="308"/>
      <c r="AT16" s="309"/>
      <c r="AU16" s="126">
        <f t="shared" si="6"/>
        <v>0</v>
      </c>
      <c r="AV16" s="126">
        <f t="shared" si="4"/>
        <v>0</v>
      </c>
      <c r="AW16" s="127">
        <f t="shared" si="5"/>
        <v>0</v>
      </c>
    </row>
    <row r="17" spans="2:51" ht="12" customHeight="1" thickBot="1">
      <c r="B17" s="286" t="s">
        <v>2</v>
      </c>
      <c r="C17" s="287"/>
      <c r="D17" s="287"/>
      <c r="E17" s="287"/>
      <c r="F17" s="288"/>
      <c r="G17" s="246" t="str">
        <f>SUM(G7:K16)&amp;" (%)"</f>
        <v>100 (%)</v>
      </c>
      <c r="H17" s="247"/>
      <c r="I17" s="247"/>
      <c r="J17" s="247"/>
      <c r="K17" s="289"/>
      <c r="L17" s="246" t="str">
        <f>SUM(L7:P16)&amp;" (h)"</f>
        <v>87600 (h)</v>
      </c>
      <c r="M17" s="247"/>
      <c r="N17" s="247"/>
      <c r="O17" s="247"/>
      <c r="P17" s="248"/>
      <c r="Q17" s="4"/>
      <c r="R17" s="4"/>
      <c r="S17" s="4"/>
      <c r="T17" s="4"/>
      <c r="U17" s="4"/>
      <c r="V17" s="4"/>
      <c r="W17" s="4"/>
      <c r="X17" s="4"/>
      <c r="Y17" s="4"/>
      <c r="Z17" s="4"/>
      <c r="AA17" s="4"/>
      <c r="AB17" s="4"/>
      <c r="AC17" s="4"/>
      <c r="AD17" s="4"/>
      <c r="AE17" s="4"/>
      <c r="AF17" s="108"/>
      <c r="AG17" s="108"/>
      <c r="AH17" s="108"/>
      <c r="AI17" s="108"/>
      <c r="AJ17" s="108"/>
      <c r="AK17" s="230" t="s">
        <v>50</v>
      </c>
      <c r="AL17" s="231"/>
      <c r="AM17" s="231"/>
      <c r="AN17" s="231"/>
      <c r="AO17" s="231"/>
      <c r="AP17" s="249">
        <f>SUM(AP7:AT16)</f>
        <v>257.24374020437904</v>
      </c>
      <c r="AQ17" s="249"/>
      <c r="AR17" s="249"/>
      <c r="AS17" s="249"/>
      <c r="AT17" s="250"/>
      <c r="AU17" s="91"/>
    </row>
    <row r="18" spans="2:51" ht="6.75" customHeight="1" thickBot="1"/>
    <row r="19" spans="2:51" s="4" customFormat="1" ht="12" customHeight="1" thickBot="1">
      <c r="B19" s="283" t="s">
        <v>135</v>
      </c>
      <c r="C19" s="284"/>
      <c r="D19" s="284"/>
      <c r="E19" s="284"/>
      <c r="F19" s="284"/>
      <c r="G19" s="284"/>
      <c r="H19" s="284"/>
      <c r="I19" s="284"/>
      <c r="J19" s="284"/>
      <c r="K19" s="284"/>
      <c r="L19" s="284"/>
      <c r="M19" s="284"/>
      <c r="N19" s="284"/>
      <c r="O19" s="284"/>
      <c r="P19" s="284"/>
      <c r="Q19" s="284"/>
      <c r="R19" s="284"/>
      <c r="S19" s="284"/>
      <c r="T19" s="284"/>
      <c r="U19" s="285"/>
      <c r="X19" s="186" t="s">
        <v>136</v>
      </c>
      <c r="Y19" s="251"/>
      <c r="Z19" s="251"/>
      <c r="AA19" s="251"/>
      <c r="AB19" s="251"/>
      <c r="AC19" s="251"/>
      <c r="AD19" s="251"/>
      <c r="AE19" s="251"/>
      <c r="AF19" s="251"/>
      <c r="AG19" s="251"/>
      <c r="AH19" s="225"/>
      <c r="AI19" s="225"/>
      <c r="AJ19" s="225"/>
      <c r="AK19" s="226"/>
      <c r="AY19" s="109"/>
    </row>
    <row r="20" spans="2:51" s="4" customFormat="1" ht="12" customHeight="1">
      <c r="B20" s="235" t="s">
        <v>3</v>
      </c>
      <c r="C20" s="236"/>
      <c r="D20" s="236"/>
      <c r="E20" s="236"/>
      <c r="F20" s="236"/>
      <c r="G20" s="237"/>
      <c r="H20" s="237"/>
      <c r="I20" s="237"/>
      <c r="J20" s="237"/>
      <c r="K20" s="238"/>
      <c r="L20" s="239"/>
      <c r="M20" s="240"/>
      <c r="N20" s="240"/>
      <c r="O20" s="240"/>
      <c r="P20" s="241"/>
      <c r="Q20" s="239"/>
      <c r="R20" s="240"/>
      <c r="S20" s="240"/>
      <c r="T20" s="240"/>
      <c r="U20" s="242"/>
      <c r="X20" s="252"/>
      <c r="Y20" s="253"/>
      <c r="Z20" s="253"/>
      <c r="AA20" s="253"/>
      <c r="AB20" s="253"/>
      <c r="AC20" s="253"/>
      <c r="AD20" s="253"/>
      <c r="AE20" s="253"/>
      <c r="AF20" s="253"/>
      <c r="AG20" s="253"/>
      <c r="AH20" s="254"/>
      <c r="AI20" s="254"/>
      <c r="AJ20" s="254"/>
      <c r="AK20" s="255"/>
      <c r="AW20" s="110"/>
    </row>
    <row r="21" spans="2:51" s="4" customFormat="1" ht="12" customHeight="1" thickBot="1">
      <c r="B21" s="256">
        <v>5</v>
      </c>
      <c r="C21" s="257"/>
      <c r="D21" s="257"/>
      <c r="E21" s="257"/>
      <c r="F21" s="257"/>
      <c r="G21" s="258"/>
      <c r="H21" s="258"/>
      <c r="I21" s="258"/>
      <c r="J21" s="258"/>
      <c r="K21" s="259"/>
      <c r="L21" s="243"/>
      <c r="M21" s="244"/>
      <c r="N21" s="244"/>
      <c r="O21" s="244"/>
      <c r="P21" s="260"/>
      <c r="Q21" s="243"/>
      <c r="R21" s="244"/>
      <c r="S21" s="244"/>
      <c r="T21" s="244"/>
      <c r="U21" s="245"/>
      <c r="X21" s="232">
        <f>AP17</f>
        <v>257.24374020437904</v>
      </c>
      <c r="Y21" s="233"/>
      <c r="Z21" s="233"/>
      <c r="AA21" s="233"/>
      <c r="AB21" s="233"/>
      <c r="AC21" s="233"/>
      <c r="AD21" s="233"/>
      <c r="AE21" s="233"/>
      <c r="AF21" s="233"/>
      <c r="AG21" s="233"/>
      <c r="AH21" s="233"/>
      <c r="AI21" s="233"/>
      <c r="AJ21" s="233"/>
      <c r="AK21" s="234"/>
      <c r="AX21" s="11"/>
    </row>
    <row r="22" spans="2:51" ht="5" customHeight="1" thickBot="1"/>
    <row r="23" spans="2:51" ht="12" customHeight="1">
      <c r="B23" s="235" t="s">
        <v>137</v>
      </c>
      <c r="C23" s="236"/>
      <c r="D23" s="236"/>
      <c r="E23" s="236"/>
      <c r="F23" s="236"/>
      <c r="G23" s="236"/>
      <c r="H23" s="236"/>
      <c r="I23" s="236"/>
      <c r="J23" s="236"/>
      <c r="K23" s="236"/>
      <c r="L23" s="236"/>
      <c r="M23" s="236"/>
      <c r="N23" s="236"/>
      <c r="O23" s="236"/>
      <c r="P23" s="236"/>
      <c r="Q23" s="236"/>
      <c r="R23" s="236"/>
      <c r="S23" s="236"/>
      <c r="T23" s="236"/>
      <c r="U23" s="274"/>
      <c r="X23" s="163" t="s">
        <v>62</v>
      </c>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5"/>
    </row>
    <row r="24" spans="2:51" ht="12" customHeight="1">
      <c r="B24" s="275" t="s">
        <v>4</v>
      </c>
      <c r="C24" s="276"/>
      <c r="D24" s="276"/>
      <c r="E24" s="276"/>
      <c r="F24" s="277"/>
      <c r="G24" s="278" t="s">
        <v>5</v>
      </c>
      <c r="H24" s="276"/>
      <c r="I24" s="276"/>
      <c r="J24" s="276"/>
      <c r="K24" s="277"/>
      <c r="L24" s="279"/>
      <c r="M24" s="280"/>
      <c r="N24" s="280"/>
      <c r="O24" s="280"/>
      <c r="P24" s="281"/>
      <c r="Q24" s="279"/>
      <c r="R24" s="280"/>
      <c r="S24" s="280"/>
      <c r="T24" s="280"/>
      <c r="U24" s="282"/>
      <c r="X24" s="166" t="s">
        <v>171</v>
      </c>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8"/>
      <c r="AY24" s="4"/>
    </row>
    <row r="25" spans="2:51" ht="12" customHeight="1" thickBot="1">
      <c r="B25" s="296">
        <v>125</v>
      </c>
      <c r="C25" s="297"/>
      <c r="D25" s="297"/>
      <c r="E25" s="297"/>
      <c r="F25" s="298"/>
      <c r="G25" s="299">
        <v>5.5</v>
      </c>
      <c r="H25" s="297"/>
      <c r="I25" s="297"/>
      <c r="J25" s="297"/>
      <c r="K25" s="298"/>
      <c r="L25" s="243"/>
      <c r="M25" s="244"/>
      <c r="N25" s="244"/>
      <c r="O25" s="244"/>
      <c r="P25" s="260"/>
      <c r="Q25" s="243"/>
      <c r="R25" s="244"/>
      <c r="S25" s="244"/>
      <c r="T25" s="244"/>
      <c r="U25" s="245"/>
      <c r="X25" s="169"/>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8"/>
    </row>
    <row r="26" spans="2:51" ht="12" customHeight="1" thickBot="1">
      <c r="X26" s="100" t="str">
        <f ca="1">IF(AE36=0," * This sheet is not available, please see the top sheet.","")</f>
        <v/>
      </c>
      <c r="Y26" s="98"/>
      <c r="Z26" s="98"/>
      <c r="AA26" s="98"/>
      <c r="AB26" s="98"/>
      <c r="AC26" s="98"/>
      <c r="AD26" s="98"/>
      <c r="AE26" s="98"/>
      <c r="AF26" s="98"/>
      <c r="AG26" s="98"/>
      <c r="AH26" s="98"/>
      <c r="AI26" s="98"/>
      <c r="AJ26" s="98"/>
      <c r="AK26" s="98"/>
      <c r="AL26" s="98"/>
      <c r="AM26" s="98"/>
      <c r="AN26" s="98"/>
      <c r="AO26" s="98"/>
      <c r="AP26" s="98"/>
      <c r="AQ26" s="98"/>
      <c r="AR26" s="94"/>
      <c r="AS26" s="94"/>
      <c r="AT26" s="95"/>
      <c r="AX26" s="1" ph="1"/>
    </row>
    <row r="27" spans="2:51" s="4" customFormat="1" ht="12" customHeight="1">
      <c r="B27" s="223" t="s">
        <v>138</v>
      </c>
      <c r="C27" s="224"/>
      <c r="D27" s="224"/>
      <c r="E27" s="224"/>
      <c r="F27" s="224"/>
      <c r="G27" s="224"/>
      <c r="H27" s="224"/>
      <c r="I27" s="225"/>
      <c r="J27" s="225"/>
      <c r="K27" s="225"/>
      <c r="L27" s="225"/>
      <c r="M27" s="225"/>
      <c r="N27" s="225"/>
      <c r="O27" s="225"/>
      <c r="P27" s="225"/>
      <c r="Q27" s="225"/>
      <c r="R27" s="225"/>
      <c r="S27" s="225"/>
      <c r="T27" s="225"/>
      <c r="U27" s="226"/>
      <c r="V27" s="111"/>
      <c r="X27" s="112"/>
      <c r="Y27" s="290" t="s">
        <v>67</v>
      </c>
      <c r="Z27" s="291"/>
      <c r="AA27" s="291"/>
      <c r="AB27" s="292"/>
      <c r="AC27" s="176" t="s">
        <v>6</v>
      </c>
      <c r="AD27" s="171"/>
      <c r="AE27" s="171"/>
      <c r="AF27" s="172"/>
      <c r="AG27" s="176" t="s">
        <v>1</v>
      </c>
      <c r="AH27" s="171"/>
      <c r="AI27" s="171"/>
      <c r="AJ27" s="177"/>
      <c r="AK27" s="121"/>
      <c r="AL27" s="170" t="s">
        <v>6</v>
      </c>
      <c r="AM27" s="171"/>
      <c r="AN27" s="171"/>
      <c r="AO27" s="172"/>
      <c r="AP27" s="176" t="s">
        <v>1</v>
      </c>
      <c r="AQ27" s="171"/>
      <c r="AR27" s="171"/>
      <c r="AS27" s="177"/>
      <c r="AT27" s="114"/>
      <c r="AV27" s="115"/>
    </row>
    <row r="28" spans="2:51" s="4" customFormat="1" ht="12" customHeight="1" thickBot="1">
      <c r="B28" s="220" t="s">
        <v>172</v>
      </c>
      <c r="C28" s="221"/>
      <c r="D28" s="221"/>
      <c r="E28" s="221"/>
      <c r="F28" s="221"/>
      <c r="G28" s="221"/>
      <c r="H28" s="221"/>
      <c r="I28" s="221"/>
      <c r="J28" s="221"/>
      <c r="K28" s="221"/>
      <c r="L28" s="221"/>
      <c r="M28" s="221"/>
      <c r="N28" s="221"/>
      <c r="O28" s="221"/>
      <c r="P28" s="221"/>
      <c r="Q28" s="221"/>
      <c r="R28" s="221"/>
      <c r="S28" s="221"/>
      <c r="T28" s="221"/>
      <c r="U28" s="222"/>
      <c r="V28" s="111"/>
      <c r="X28" s="112"/>
      <c r="Y28" s="293"/>
      <c r="Z28" s="294"/>
      <c r="AA28" s="294"/>
      <c r="AB28" s="295"/>
      <c r="AC28" s="178"/>
      <c r="AD28" s="174"/>
      <c r="AE28" s="174"/>
      <c r="AF28" s="175"/>
      <c r="AG28" s="178"/>
      <c r="AH28" s="174"/>
      <c r="AI28" s="174"/>
      <c r="AJ28" s="179"/>
      <c r="AK28" s="121"/>
      <c r="AL28" s="173"/>
      <c r="AM28" s="174"/>
      <c r="AN28" s="174"/>
      <c r="AO28" s="175"/>
      <c r="AP28" s="178"/>
      <c r="AQ28" s="174"/>
      <c r="AR28" s="174"/>
      <c r="AS28" s="179"/>
      <c r="AT28" s="114"/>
    </row>
    <row r="29" spans="2:51" s="4" customFormat="1" ht="12" customHeight="1" thickBot="1">
      <c r="B29" s="227" t="s">
        <v>7</v>
      </c>
      <c r="C29" s="228"/>
      <c r="D29" s="228"/>
      <c r="E29" s="228"/>
      <c r="F29" s="229"/>
      <c r="G29" s="268" t="s">
        <v>45</v>
      </c>
      <c r="H29" s="269"/>
      <c r="I29" s="269"/>
      <c r="J29" s="269"/>
      <c r="K29" s="270"/>
      <c r="L29" s="268" t="s">
        <v>36</v>
      </c>
      <c r="M29" s="269"/>
      <c r="N29" s="269"/>
      <c r="O29" s="269"/>
      <c r="P29" s="270"/>
      <c r="Q29" s="271"/>
      <c r="R29" s="272"/>
      <c r="S29" s="272"/>
      <c r="T29" s="272"/>
      <c r="U29" s="273"/>
      <c r="X29" s="112"/>
      <c r="Y29" s="218">
        <v>1</v>
      </c>
      <c r="Z29" s="219"/>
      <c r="AA29" s="219"/>
      <c r="AB29" s="219"/>
      <c r="AC29" s="215">
        <f>IF(Y29="","",IF($AV$29=0,"",ROUNDUP(LN(1-$P$34/100)/LN(1-Y29/100),0)))</f>
        <v>230</v>
      </c>
      <c r="AD29" s="216"/>
      <c r="AE29" s="216"/>
      <c r="AF29" s="216"/>
      <c r="AG29" s="215">
        <f>IF(Y29="","",IF($AV$29=0,"",ROUNDUP($X$21*((1/AC29)*LN(1-$P$34/100)/LN(1-$B$34/100))^(1/$I$34),0)))</f>
        <v>555</v>
      </c>
      <c r="AH29" s="216"/>
      <c r="AI29" s="216"/>
      <c r="AJ29" s="217"/>
      <c r="AK29" s="113"/>
      <c r="AL29" s="157">
        <v>22</v>
      </c>
      <c r="AM29" s="158"/>
      <c r="AN29" s="158"/>
      <c r="AO29" s="159"/>
      <c r="AP29" s="160">
        <f>IF(AL29="","",IF(AV29=0,"",ROUNDUP($X$21*(((1/$AL$29)*LN(1-$P$34/100))/LN(1-$B$34/100))^(1/$I$34),0)))</f>
        <v>1213</v>
      </c>
      <c r="AQ29" s="161"/>
      <c r="AR29" s="161"/>
      <c r="AS29" s="162"/>
      <c r="AT29" s="114"/>
      <c r="AV29" s="4">
        <f>IF(B34="",0,1)*IF(I34="",0,1)*IF(P34="",0,1)</f>
        <v>1</v>
      </c>
    </row>
    <row r="30" spans="2:51" s="4" customFormat="1" ht="12" customHeight="1" thickBot="1">
      <c r="B30" s="206">
        <v>0.7</v>
      </c>
      <c r="C30" s="207"/>
      <c r="D30" s="207"/>
      <c r="E30" s="207"/>
      <c r="F30" s="208"/>
      <c r="G30" s="209">
        <v>4</v>
      </c>
      <c r="H30" s="210"/>
      <c r="I30" s="210"/>
      <c r="J30" s="210"/>
      <c r="K30" s="211"/>
      <c r="L30" s="209">
        <v>35</v>
      </c>
      <c r="M30" s="210"/>
      <c r="N30" s="210"/>
      <c r="O30" s="210"/>
      <c r="P30" s="211"/>
      <c r="Q30" s="212"/>
      <c r="R30" s="213"/>
      <c r="S30" s="213"/>
      <c r="T30" s="213"/>
      <c r="U30" s="214"/>
      <c r="X30" s="112"/>
      <c r="Y30" s="199">
        <v>2</v>
      </c>
      <c r="Z30" s="200"/>
      <c r="AA30" s="200"/>
      <c r="AB30" s="200"/>
      <c r="AC30" s="196">
        <f>IF(Y30="","",IF($AV$29=0,"",ROUNDUP(LN(1-$P$34/100)/LN(1-Y30/100),0)))</f>
        <v>114</v>
      </c>
      <c r="AD30" s="197"/>
      <c r="AE30" s="197"/>
      <c r="AF30" s="197"/>
      <c r="AG30" s="196">
        <f>IF(Y30="","",IF($AV$29=0,"",ROUNDUP($X$21*((1/AC30)*LN(1-$P$34/100)/LN(1-$B$34/100))^(1/$I$34),0)))</f>
        <v>701</v>
      </c>
      <c r="AH30" s="197"/>
      <c r="AI30" s="197"/>
      <c r="AJ30" s="198"/>
      <c r="AK30" s="113"/>
      <c r="AL30" s="116"/>
      <c r="AM30" s="116"/>
      <c r="AN30" s="116"/>
      <c r="AO30" s="116"/>
      <c r="AP30" s="116"/>
      <c r="AQ30" s="116"/>
      <c r="AR30" s="116"/>
      <c r="AS30" s="116"/>
      <c r="AT30" s="114"/>
    </row>
    <row r="31" spans="2:51" s="4" customFormat="1" ht="12" customHeight="1" thickBot="1">
      <c r="X31" s="112"/>
      <c r="Y31" s="199">
        <v>5</v>
      </c>
      <c r="Z31" s="200"/>
      <c r="AA31" s="200"/>
      <c r="AB31" s="200"/>
      <c r="AC31" s="196">
        <f t="shared" ref="AC31:AC33" si="8">IF(Y31="","",IF($AV$29=0,"",ROUNDUP(LN(1-$P$34/100)/LN(1-Y31/100),0)))</f>
        <v>45</v>
      </c>
      <c r="AD31" s="197"/>
      <c r="AE31" s="197"/>
      <c r="AF31" s="197"/>
      <c r="AG31" s="196">
        <f t="shared" ref="AG31:AG33" si="9">IF(Y31="","",IF($AV$29=0,"",ROUNDUP($X$21*((1/AC31)*LN(1-$P$34/100)/LN(1-$B$34/100))^(1/$I$34),0)))</f>
        <v>955</v>
      </c>
      <c r="AH31" s="197"/>
      <c r="AI31" s="197"/>
      <c r="AJ31" s="198"/>
      <c r="AK31" s="113"/>
      <c r="AL31" s="180" t="s">
        <v>1</v>
      </c>
      <c r="AM31" s="171"/>
      <c r="AN31" s="171"/>
      <c r="AO31" s="172"/>
      <c r="AP31" s="176" t="s">
        <v>68</v>
      </c>
      <c r="AQ31" s="171"/>
      <c r="AR31" s="171"/>
      <c r="AS31" s="177"/>
      <c r="AT31" s="114"/>
    </row>
    <row r="32" spans="2:51" s="4" customFormat="1" ht="12" customHeight="1" thickBot="1">
      <c r="B32" s="186" t="s">
        <v>17</v>
      </c>
      <c r="C32" s="187"/>
      <c r="D32" s="187"/>
      <c r="E32" s="187"/>
      <c r="F32" s="187"/>
      <c r="G32" s="187"/>
      <c r="H32" s="188"/>
      <c r="I32" s="192" t="s">
        <v>8</v>
      </c>
      <c r="J32" s="187"/>
      <c r="K32" s="187"/>
      <c r="L32" s="187"/>
      <c r="M32" s="187"/>
      <c r="N32" s="187"/>
      <c r="O32" s="188"/>
      <c r="P32" s="192" t="s">
        <v>9</v>
      </c>
      <c r="Q32" s="187"/>
      <c r="R32" s="187"/>
      <c r="S32" s="187"/>
      <c r="T32" s="187"/>
      <c r="U32" s="194"/>
      <c r="X32" s="112"/>
      <c r="Y32" s="199">
        <v>10</v>
      </c>
      <c r="Z32" s="200"/>
      <c r="AA32" s="200"/>
      <c r="AB32" s="200"/>
      <c r="AC32" s="196">
        <f t="shared" si="8"/>
        <v>22</v>
      </c>
      <c r="AD32" s="197"/>
      <c r="AE32" s="197"/>
      <c r="AF32" s="197"/>
      <c r="AG32" s="196">
        <f t="shared" si="9"/>
        <v>1213</v>
      </c>
      <c r="AH32" s="197"/>
      <c r="AI32" s="197"/>
      <c r="AJ32" s="198"/>
      <c r="AK32" s="113"/>
      <c r="AL32" s="173"/>
      <c r="AM32" s="174"/>
      <c r="AN32" s="174"/>
      <c r="AO32" s="175"/>
      <c r="AP32" s="178"/>
      <c r="AQ32" s="174"/>
      <c r="AR32" s="174"/>
      <c r="AS32" s="179"/>
      <c r="AT32" s="114"/>
    </row>
    <row r="33" spans="1:46" s="4" customFormat="1" ht="12" customHeight="1" thickBot="1">
      <c r="B33" s="189"/>
      <c r="C33" s="190"/>
      <c r="D33" s="190"/>
      <c r="E33" s="190"/>
      <c r="F33" s="190"/>
      <c r="G33" s="190"/>
      <c r="H33" s="191"/>
      <c r="I33" s="193"/>
      <c r="J33" s="190"/>
      <c r="K33" s="190"/>
      <c r="L33" s="190"/>
      <c r="M33" s="190"/>
      <c r="N33" s="190"/>
      <c r="O33" s="191"/>
      <c r="P33" s="193"/>
      <c r="Q33" s="190"/>
      <c r="R33" s="190"/>
      <c r="S33" s="190"/>
      <c r="T33" s="190"/>
      <c r="U33" s="195"/>
      <c r="X33" s="112"/>
      <c r="Y33" s="201">
        <v>20</v>
      </c>
      <c r="Z33" s="202"/>
      <c r="AA33" s="202"/>
      <c r="AB33" s="202"/>
      <c r="AC33" s="203">
        <f t="shared" si="8"/>
        <v>11</v>
      </c>
      <c r="AD33" s="204"/>
      <c r="AE33" s="204"/>
      <c r="AF33" s="204"/>
      <c r="AG33" s="203">
        <f t="shared" si="9"/>
        <v>1528</v>
      </c>
      <c r="AH33" s="204"/>
      <c r="AI33" s="204"/>
      <c r="AJ33" s="205"/>
      <c r="AK33" s="117"/>
      <c r="AL33" s="157">
        <v>1213</v>
      </c>
      <c r="AM33" s="158"/>
      <c r="AN33" s="158"/>
      <c r="AO33" s="159"/>
      <c r="AP33" s="160">
        <f>IF(AL33="","",IF(AV29=0,"",ROUNDUP((($X$21/$AL$33)^$I$34)*(LN(1-$P$34/100)/LN(1-$B$34/100)),0)))</f>
        <v>22</v>
      </c>
      <c r="AQ33" s="161"/>
      <c r="AR33" s="161"/>
      <c r="AS33" s="162"/>
      <c r="AT33" s="114"/>
    </row>
    <row r="34" spans="1:46" s="4" customFormat="1" ht="12" customHeight="1" thickBot="1">
      <c r="B34" s="181">
        <v>0.1</v>
      </c>
      <c r="C34" s="182"/>
      <c r="D34" s="182"/>
      <c r="E34" s="182"/>
      <c r="F34" s="182"/>
      <c r="G34" s="182"/>
      <c r="H34" s="183"/>
      <c r="I34" s="184">
        <v>3</v>
      </c>
      <c r="J34" s="182"/>
      <c r="K34" s="182"/>
      <c r="L34" s="182"/>
      <c r="M34" s="182"/>
      <c r="N34" s="182"/>
      <c r="O34" s="183"/>
      <c r="P34" s="184">
        <v>90</v>
      </c>
      <c r="Q34" s="182"/>
      <c r="R34" s="182"/>
      <c r="S34" s="182"/>
      <c r="T34" s="182"/>
      <c r="U34" s="185"/>
      <c r="X34" s="118"/>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20"/>
    </row>
    <row r="35" spans="1:46" s="76" customFormat="1" ht="15" customHeight="1"/>
    <row r="36" spans="1:46" s="76" customFormat="1" ht="15" hidden="1" customHeight="1">
      <c r="A36" s="66"/>
      <c r="B36" s="59" t="s">
        <v>91</v>
      </c>
      <c r="C36" s="60"/>
      <c r="D36" s="60"/>
      <c r="E36" s="60"/>
      <c r="F36" s="60"/>
      <c r="G36" s="60"/>
      <c r="H36" s="60"/>
      <c r="I36" s="60"/>
      <c r="J36" s="60"/>
      <c r="K36" s="60"/>
      <c r="L36" s="60"/>
      <c r="M36" s="60"/>
      <c r="N36" s="60"/>
      <c r="O36" s="60"/>
      <c r="P36" s="60"/>
      <c r="Q36" s="60"/>
      <c r="R36" s="60">
        <f>IF(CODE(B28)=49,1,0)</f>
        <v>1</v>
      </c>
      <c r="S36" s="60">
        <f>IF(B21="",0,1)*IF(B25="",0,1)*IF(G25="",0,1)*IF(B30="",0,1)*IF(G30="",0,1)</f>
        <v>1</v>
      </c>
      <c r="T36" s="60"/>
      <c r="U36" s="60"/>
      <c r="V36" s="59"/>
      <c r="W36" s="59"/>
      <c r="X36" s="59" t="s">
        <v>7</v>
      </c>
      <c r="Y36" s="61">
        <v>0.7</v>
      </c>
      <c r="Z36" s="61">
        <v>0.2</v>
      </c>
      <c r="AA36" s="61">
        <v>2</v>
      </c>
      <c r="AB36" s="59"/>
      <c r="AC36" s="59"/>
      <c r="AD36" s="59"/>
      <c r="AE36" s="59">
        <f ca="1">'Top sheet'!D34</f>
        <v>1</v>
      </c>
      <c r="AF36" s="66"/>
      <c r="AG36" s="66"/>
      <c r="AH36" s="66"/>
      <c r="AI36" s="66"/>
      <c r="AJ36" s="66"/>
    </row>
    <row r="37" spans="1:46" s="76" customFormat="1" ht="15" hidden="1" customHeight="1">
      <c r="A37" s="66"/>
      <c r="B37" s="59" t="s">
        <v>92</v>
      </c>
      <c r="C37" s="60"/>
      <c r="D37" s="60"/>
      <c r="E37" s="60"/>
      <c r="F37" s="60"/>
      <c r="G37" s="60"/>
      <c r="H37" s="60"/>
      <c r="I37" s="60"/>
      <c r="J37" s="60"/>
      <c r="K37" s="60"/>
      <c r="L37" s="60"/>
      <c r="M37" s="60"/>
      <c r="N37" s="60"/>
      <c r="O37" s="60"/>
      <c r="P37" s="60"/>
      <c r="Q37" s="60"/>
      <c r="R37" s="60">
        <f>IF(CODE(B28)=50,1,0)</f>
        <v>0</v>
      </c>
      <c r="S37" s="60">
        <f>IF(B21="",0,1)*IF(B25="",0,1)*IF(G25="",0,1)*IF(B30="",0,1)*IF(L30="",0,1)</f>
        <v>1</v>
      </c>
      <c r="T37" s="60"/>
      <c r="U37" s="60"/>
      <c r="V37" s="59"/>
      <c r="W37" s="59"/>
      <c r="X37" s="59" t="s">
        <v>34</v>
      </c>
      <c r="Y37" s="61">
        <v>4</v>
      </c>
      <c r="Z37" s="61">
        <v>1</v>
      </c>
      <c r="AA37" s="61">
        <v>9</v>
      </c>
      <c r="AB37" s="59"/>
      <c r="AC37" s="59"/>
      <c r="AD37" s="59"/>
      <c r="AE37" s="59"/>
      <c r="AF37" s="66"/>
      <c r="AG37" s="66"/>
      <c r="AH37" s="66"/>
      <c r="AI37" s="66"/>
      <c r="AJ37" s="66"/>
    </row>
    <row r="38" spans="1:46" s="76" customFormat="1" ht="15" hidden="1" customHeight="1">
      <c r="A38" s="66"/>
      <c r="B38" s="59"/>
      <c r="C38" s="59"/>
      <c r="D38" s="59"/>
      <c r="E38" s="59"/>
      <c r="F38" s="59"/>
      <c r="G38" s="59"/>
      <c r="H38" s="59"/>
      <c r="I38" s="59"/>
      <c r="J38" s="59"/>
      <c r="K38" s="59"/>
      <c r="L38" s="59"/>
      <c r="M38" s="59"/>
      <c r="N38" s="59"/>
      <c r="O38" s="59"/>
      <c r="P38" s="59"/>
      <c r="Q38" s="59"/>
      <c r="R38" s="59"/>
      <c r="S38" s="59"/>
      <c r="T38" s="59"/>
      <c r="U38" s="59"/>
      <c r="V38" s="59"/>
      <c r="W38" s="59"/>
      <c r="X38" s="59" t="s">
        <v>35</v>
      </c>
      <c r="Y38" s="61">
        <v>35</v>
      </c>
      <c r="Z38" s="61">
        <v>1</v>
      </c>
      <c r="AA38" s="61">
        <v>50</v>
      </c>
      <c r="AB38" s="59"/>
      <c r="AC38" s="59"/>
      <c r="AD38" s="59"/>
      <c r="AE38" s="59"/>
      <c r="AF38" s="66"/>
      <c r="AG38" s="66"/>
      <c r="AH38" s="66"/>
      <c r="AI38" s="66"/>
      <c r="AJ38" s="66"/>
    </row>
    <row r="39" spans="1:46" s="76" customFormat="1" ht="15" hidden="1" customHeight="1">
      <c r="A39" s="66"/>
      <c r="B39" s="59"/>
      <c r="C39" s="59"/>
      <c r="D39" s="59"/>
      <c r="E39" s="59"/>
      <c r="F39" s="59"/>
      <c r="G39" s="59"/>
      <c r="H39" s="59"/>
      <c r="I39" s="59"/>
      <c r="J39" s="59"/>
      <c r="K39" s="59"/>
      <c r="L39" s="59"/>
      <c r="M39" s="59"/>
      <c r="N39" s="59"/>
      <c r="O39" s="59"/>
      <c r="P39" s="59"/>
      <c r="Q39" s="59"/>
      <c r="R39" s="59"/>
      <c r="S39" s="59"/>
      <c r="T39" s="59"/>
      <c r="U39" s="59"/>
      <c r="V39" s="59"/>
      <c r="W39" s="59"/>
      <c r="X39" s="59" t="s">
        <v>37</v>
      </c>
      <c r="Y39" s="61">
        <v>3</v>
      </c>
      <c r="Z39" s="61">
        <v>1</v>
      </c>
      <c r="AA39" s="61">
        <v>15</v>
      </c>
      <c r="AB39" s="59"/>
      <c r="AC39" s="59"/>
      <c r="AD39" s="59"/>
      <c r="AE39" s="59"/>
      <c r="AF39" s="66"/>
      <c r="AG39" s="66"/>
      <c r="AH39" s="66"/>
      <c r="AI39" s="66"/>
      <c r="AJ39" s="66"/>
    </row>
    <row r="40" spans="1:46" ht="15" customHeigh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row>
    <row r="41" spans="1:46" ht="15" customHeight="1">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row>
    <row r="42" spans="1:46" ht="15" customHeight="1"/>
    <row r="43" spans="1:46" ht="15" customHeight="1"/>
    <row r="44" spans="1:46" ht="15" customHeight="1"/>
    <row r="45" spans="1:46" ht="15" customHeight="1"/>
    <row r="46" spans="1:46" ht="15" customHeight="1"/>
    <row r="47" spans="1:46" ht="15" customHeight="1"/>
    <row r="48" spans="1:4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sheetData>
  <sheetProtection algorithmName="SHA-512" hashValue="bZUuYvejTd2IMkJwnbRDO7AuKnITBo2pa6MB09CC8nRa27z9il+pXJ9ZJ4ioiCVIJavLxg31LO+AW9sI5/KdYA==" saltValue="xN3v+31+ehaf2XArPXSngA==" spinCount="100000" sheet="1" objects="1" scenarios="1" selectLockedCells="1"/>
  <mergeCells count="162">
    <mergeCell ref="AF11:AJ11"/>
    <mergeCell ref="AP9:AT9"/>
    <mergeCell ref="AP10:AT10"/>
    <mergeCell ref="AP11:AT11"/>
    <mergeCell ref="AP8:AT8"/>
    <mergeCell ref="AF5:AJ6"/>
    <mergeCell ref="AK5:AO6"/>
    <mergeCell ref="AP5:AT6"/>
    <mergeCell ref="AF8:AJ8"/>
    <mergeCell ref="AF9:AJ9"/>
    <mergeCell ref="AK11:AO11"/>
    <mergeCell ref="AK10:AO10"/>
    <mergeCell ref="AF2:AJ2"/>
    <mergeCell ref="AK2:AL2"/>
    <mergeCell ref="AP7:AT7"/>
    <mergeCell ref="B7:F7"/>
    <mergeCell ref="G7:K7"/>
    <mergeCell ref="L7:P7"/>
    <mergeCell ref="Q7:U7"/>
    <mergeCell ref="V7:AD7"/>
    <mergeCell ref="Q5:U6"/>
    <mergeCell ref="V5:AD6"/>
    <mergeCell ref="B2:S2"/>
    <mergeCell ref="B4:AD4"/>
    <mergeCell ref="AK7:AO7"/>
    <mergeCell ref="AF4:AT4"/>
    <mergeCell ref="U2:AB2"/>
    <mergeCell ref="AC2:AD2"/>
    <mergeCell ref="B5:F6"/>
    <mergeCell ref="G5:K6"/>
    <mergeCell ref="L5:P6"/>
    <mergeCell ref="AF7:AJ7"/>
    <mergeCell ref="B8:F8"/>
    <mergeCell ref="G8:K8"/>
    <mergeCell ref="L8:P8"/>
    <mergeCell ref="Q8:U8"/>
    <mergeCell ref="V8:AD8"/>
    <mergeCell ref="AK8:AO8"/>
    <mergeCell ref="AK9:AO9"/>
    <mergeCell ref="B12:F12"/>
    <mergeCell ref="B11:F11"/>
    <mergeCell ref="G11:K11"/>
    <mergeCell ref="L11:P11"/>
    <mergeCell ref="Q10:U10"/>
    <mergeCell ref="Q11:U11"/>
    <mergeCell ref="V10:AD10"/>
    <mergeCell ref="V11:AD11"/>
    <mergeCell ref="AF10:AJ10"/>
    <mergeCell ref="B9:F9"/>
    <mergeCell ref="G9:K9"/>
    <mergeCell ref="L9:P9"/>
    <mergeCell ref="Q9:U9"/>
    <mergeCell ref="V9:AD9"/>
    <mergeCell ref="B10:F10"/>
    <mergeCell ref="G10:K10"/>
    <mergeCell ref="L10:P10"/>
    <mergeCell ref="AP16:AT16"/>
    <mergeCell ref="AF14:AJ14"/>
    <mergeCell ref="AF15:AJ15"/>
    <mergeCell ref="AK14:AO14"/>
    <mergeCell ref="AK15:AO15"/>
    <mergeCell ref="AP14:AT14"/>
    <mergeCell ref="AP15:AT15"/>
    <mergeCell ref="AK12:AO12"/>
    <mergeCell ref="V12:AD12"/>
    <mergeCell ref="AF12:AJ12"/>
    <mergeCell ref="AP12:AT12"/>
    <mergeCell ref="AK13:AO13"/>
    <mergeCell ref="AP13:AT13"/>
    <mergeCell ref="AF13:AJ13"/>
    <mergeCell ref="V14:AD14"/>
    <mergeCell ref="V15:AD15"/>
    <mergeCell ref="V13:AD13"/>
    <mergeCell ref="AK16:AO16"/>
    <mergeCell ref="AF16:AJ16"/>
    <mergeCell ref="G12:K12"/>
    <mergeCell ref="L12:P12"/>
    <mergeCell ref="Q12:U12"/>
    <mergeCell ref="B15:F15"/>
    <mergeCell ref="G14:K14"/>
    <mergeCell ref="G15:K15"/>
    <mergeCell ref="L15:P15"/>
    <mergeCell ref="Q14:U14"/>
    <mergeCell ref="Q15:U15"/>
    <mergeCell ref="B13:F13"/>
    <mergeCell ref="G13:K13"/>
    <mergeCell ref="L13:P13"/>
    <mergeCell ref="Q13:U13"/>
    <mergeCell ref="B14:F14"/>
    <mergeCell ref="L14:P14"/>
    <mergeCell ref="B16:F16"/>
    <mergeCell ref="G16:K16"/>
    <mergeCell ref="L16:P16"/>
    <mergeCell ref="V16:AD16"/>
    <mergeCell ref="Q16:U16"/>
    <mergeCell ref="G29:K29"/>
    <mergeCell ref="L29:P29"/>
    <mergeCell ref="Q29:U29"/>
    <mergeCell ref="B23:U23"/>
    <mergeCell ref="B24:F24"/>
    <mergeCell ref="G24:K24"/>
    <mergeCell ref="L24:P24"/>
    <mergeCell ref="Q24:U24"/>
    <mergeCell ref="B19:U19"/>
    <mergeCell ref="B17:F17"/>
    <mergeCell ref="G17:K17"/>
    <mergeCell ref="Y27:AB28"/>
    <mergeCell ref="B25:F25"/>
    <mergeCell ref="G25:K25"/>
    <mergeCell ref="L25:P25"/>
    <mergeCell ref="Q25:U25"/>
    <mergeCell ref="AK17:AO17"/>
    <mergeCell ref="X21:AK21"/>
    <mergeCell ref="B20:K20"/>
    <mergeCell ref="L20:P20"/>
    <mergeCell ref="Q20:U20"/>
    <mergeCell ref="Q21:U21"/>
    <mergeCell ref="L17:P17"/>
    <mergeCell ref="AP17:AT17"/>
    <mergeCell ref="X19:AK20"/>
    <mergeCell ref="B21:K21"/>
    <mergeCell ref="L21:P21"/>
    <mergeCell ref="B30:F30"/>
    <mergeCell ref="G30:K30"/>
    <mergeCell ref="L30:P30"/>
    <mergeCell ref="Q30:U30"/>
    <mergeCell ref="Y30:AB30"/>
    <mergeCell ref="AC30:AF30"/>
    <mergeCell ref="AG29:AJ29"/>
    <mergeCell ref="AG27:AJ28"/>
    <mergeCell ref="Y29:AB29"/>
    <mergeCell ref="AC29:AF29"/>
    <mergeCell ref="AG30:AJ30"/>
    <mergeCell ref="B28:U28"/>
    <mergeCell ref="AC27:AF28"/>
    <mergeCell ref="B27:U27"/>
    <mergeCell ref="B29:F29"/>
    <mergeCell ref="B34:H34"/>
    <mergeCell ref="I34:O34"/>
    <mergeCell ref="P34:U34"/>
    <mergeCell ref="B32:H33"/>
    <mergeCell ref="I32:O33"/>
    <mergeCell ref="P32:U33"/>
    <mergeCell ref="AC31:AF31"/>
    <mergeCell ref="AG31:AJ31"/>
    <mergeCell ref="Y32:AB32"/>
    <mergeCell ref="Y33:AB33"/>
    <mergeCell ref="AC33:AF33"/>
    <mergeCell ref="AG33:AJ33"/>
    <mergeCell ref="AC32:AF32"/>
    <mergeCell ref="AG32:AJ32"/>
    <mergeCell ref="Y31:AB31"/>
    <mergeCell ref="AL33:AO33"/>
    <mergeCell ref="AP33:AS33"/>
    <mergeCell ref="X23:AT23"/>
    <mergeCell ref="X24:AT25"/>
    <mergeCell ref="AL27:AO28"/>
    <mergeCell ref="AP27:AS28"/>
    <mergeCell ref="AL29:AO29"/>
    <mergeCell ref="AP29:AS29"/>
    <mergeCell ref="AL31:AO32"/>
    <mergeCell ref="AP31:AS32"/>
  </mergeCells>
  <phoneticPr fontId="1"/>
  <conditionalFormatting sqref="G29:K29">
    <cfRule type="expression" dxfId="55" priority="30" stopIfTrue="1">
      <formula>$R$36=1</formula>
    </cfRule>
  </conditionalFormatting>
  <conditionalFormatting sqref="G30:K30">
    <cfRule type="expression" dxfId="54" priority="42" stopIfTrue="1">
      <formula>$R$36=1</formula>
    </cfRule>
  </conditionalFormatting>
  <conditionalFormatting sqref="L29:P29">
    <cfRule type="expression" dxfId="53" priority="29" stopIfTrue="1">
      <formula>$R$37=1</formula>
    </cfRule>
  </conditionalFormatting>
  <conditionalFormatting sqref="L30:P30">
    <cfRule type="expression" dxfId="52" priority="41" stopIfTrue="1">
      <formula>$R$37=1</formula>
    </cfRule>
  </conditionalFormatting>
  <conditionalFormatting sqref="X19:AK21">
    <cfRule type="expression" dxfId="51" priority="4" stopIfTrue="1">
      <formula>$AE$36=0</formula>
    </cfRule>
  </conditionalFormatting>
  <conditionalFormatting sqref="X23:AT25">
    <cfRule type="expression" dxfId="50" priority="3" stopIfTrue="1">
      <formula>$AE$36=0</formula>
    </cfRule>
  </conditionalFormatting>
  <conditionalFormatting sqref="X26:AT26">
    <cfRule type="expression" dxfId="49" priority="2" stopIfTrue="1">
      <formula>$AE$36=0</formula>
    </cfRule>
  </conditionalFormatting>
  <conditionalFormatting sqref="X27:AT34">
    <cfRule type="expression" dxfId="48" priority="6" stopIfTrue="1">
      <formula>$AE$36=0</formula>
    </cfRule>
  </conditionalFormatting>
  <conditionalFormatting sqref="AF4:AT16">
    <cfRule type="expression" dxfId="47" priority="1">
      <formula>$AE$36=0</formula>
    </cfRule>
  </conditionalFormatting>
  <conditionalFormatting sqref="AK17:AT17">
    <cfRule type="expression" dxfId="46" priority="5" stopIfTrue="1">
      <formula>$AE$36=0</formula>
    </cfRule>
  </conditionalFormatting>
  <dataValidations xWindow="295" yWindow="838" count="16">
    <dataValidation type="list" allowBlank="1" showInputMessage="1" showErrorMessage="1" sqref="B28:U28" xr:uid="{80EAF47E-B1D0-4BC4-984D-882FE418F613}">
      <formula1>$B$36:$B$37</formula1>
    </dataValidation>
    <dataValidation type="decimal" allowBlank="1" showInputMessage="1" showErrorMessage="1" error="Invalid value" prompt="Typical value is 4.0" sqref="G30:K30" xr:uid="{0DAD50EC-9EC2-44DB-881C-0773C71CB837}">
      <formula1>Z37</formula1>
      <formula2>AA37</formula2>
    </dataValidation>
    <dataValidation type="decimal" allowBlank="1" showInputMessage="1" showErrorMessage="1" error="Invalid value" prompt="Typical value is 35.0" sqref="L30:P30" xr:uid="{D6F0FBB5-CA05-4DA3-B11F-840FBDD66EF7}">
      <formula1>Z38</formula1>
      <formula2>AA38</formula2>
    </dataValidation>
    <dataValidation type="decimal" allowBlank="1" showInputMessage="1" showErrorMessage="1" error="Invalid value" prompt="Typical value is 3.0" sqref="I34:O34" xr:uid="{AD69C2F7-E79B-4F18-A4FD-EF43F2BEECA5}">
      <formula1>Z39</formula1>
      <formula2>AA39</formula2>
    </dataValidation>
    <dataValidation type="decimal" allowBlank="1" showInputMessage="1" showErrorMessage="1" error="Invalid value" prompt="Typical value is 0.1" sqref="B34:H34" xr:uid="{77A23A71-4484-479A-AB4E-7FDD05B17978}">
      <formula1>0.0001</formula1>
      <formula2>50</formula2>
    </dataValidation>
    <dataValidation type="decimal" allowBlank="1" showInputMessage="1" showErrorMessage="1" error="Invalid value" sqref="AK2:AL2" xr:uid="{D4C30F7A-B3E2-4C6E-ACED-1C08EFCD994E}">
      <formula1>1</formula1>
      <formula2>100</formula2>
    </dataValidation>
    <dataValidation type="decimal" allowBlank="1" showInputMessage="1" showErrorMessage="1" prompt="Typical value is 0.7" sqref="B30:F30" xr:uid="{2EDD9689-D089-4618-AF16-D7B67ABD20B0}">
      <formula1>Z36</formula1>
      <formula2>AA36</formula2>
    </dataValidation>
    <dataValidation type="decimal" allowBlank="1" showInputMessage="1" showErrorMessage="1" error="Invalid value" prompt="Typical value is 90" sqref="P34:U34" xr:uid="{742AE309-1570-433B-B70D-D97F58810E04}">
      <formula1>10</formula1>
      <formula2>99</formula2>
    </dataValidation>
    <dataValidation type="decimal" allowBlank="1" showInputMessage="1" showErrorMessage="1" error="Invalid value" sqref="AC2:AD2" xr:uid="{FC862F7E-4EF2-4137-A991-F2729D889A03}">
      <formula1>0.1</formula1>
      <formula2>100</formula2>
    </dataValidation>
    <dataValidation type="decimal" allowBlank="1" showInputMessage="1" showErrorMessage="1" error="Invalid value" sqref="B21:K21 G25:K25" xr:uid="{5CE86880-E23D-4D07-A92C-57EABA2975FF}">
      <formula1>0.5</formula1>
      <formula2>700</formula2>
    </dataValidation>
    <dataValidation type="decimal" allowBlank="1" showInputMessage="1" showErrorMessage="1" error="Invalid value" sqref="B25:F25" xr:uid="{21316E23-0EFB-440B-9035-F6BFB60A2FC3}">
      <formula1>10</formula1>
      <formula2>250</formula2>
    </dataValidation>
    <dataValidation type="decimal" allowBlank="1" showInputMessage="1" showErrorMessage="1" error="Invalid value" sqref="Y29:AB29 Y30:AB30 Y31:AB31 Y32:AB32 Y33:AB33" xr:uid="{A11FC778-277F-48AC-8CE0-14B571D669D7}">
      <formula1>0.1</formula1>
      <formula2>60</formula2>
    </dataValidation>
    <dataValidation type="whole" allowBlank="1" showInputMessage="1" showErrorMessage="1" error="Invalid value" sqref="AL29:AO29" xr:uid="{7991C757-E7FE-4CA6-9420-CDA67DD22626}">
      <formula1>1</formula1>
      <formula2>10000</formula2>
    </dataValidation>
    <dataValidation type="decimal" allowBlank="1" showInputMessage="1" showErrorMessage="1" error="Invalid value" sqref="AL33:AO33" xr:uid="{615E73AA-74DB-4C49-BB53-22D795260326}">
      <formula1>0.1</formula1>
      <formula2>10000</formula2>
    </dataValidation>
    <dataValidation type="decimal" allowBlank="1" showInputMessage="1" showErrorMessage="1" error="Invalid value" sqref="B7:F16" xr:uid="{7E3CE5DE-842C-455C-BAB0-2D37085E91CF}">
      <formula1>-10</formula1>
      <formula2>300</formula2>
    </dataValidation>
    <dataValidation type="decimal" allowBlank="1" showInputMessage="1" showErrorMessage="1" error="Invalid value" sqref="G7:K16" xr:uid="{3D0EB637-66B4-4106-B77F-250A3DFBD2D7}">
      <formula1>0</formula1>
      <formula2>100</formula2>
    </dataValidation>
  </dataValidations>
  <pageMargins left="0.7" right="0.7" top="0.75" bottom="0.75" header="0.3" footer="0.3"/>
  <pageSetup paperSize="9" orientation="landscape" r:id="rId1"/>
  <ignoredErrors>
    <ignoredError sqref="AP17 X21"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3BA90-0A7E-4BC2-9D9D-9BBFD0B2B21F}">
  <sheetPr codeName="Sheet3"/>
  <dimension ref="A1:BL76"/>
  <sheetViews>
    <sheetView showGridLines="0" showRowColHeaders="0" zoomScaleNormal="100" workbookViewId="0">
      <selection activeCell="AL30" sqref="AL30:AO30"/>
    </sheetView>
  </sheetViews>
  <sheetFormatPr defaultColWidth="9" defaultRowHeight="14"/>
  <cols>
    <col min="1" max="1" width="2.90625" style="1" customWidth="1"/>
    <col min="2" max="46" width="3.54296875" style="1" customWidth="1"/>
    <col min="47" max="49" width="3.54296875" style="1" hidden="1" customWidth="1"/>
    <col min="50" max="50" width="7.81640625" style="1" hidden="1" customWidth="1"/>
    <col min="51" max="52" width="8.6328125" style="1" hidden="1" customWidth="1"/>
    <col min="53" max="53" width="10.81640625" style="1" hidden="1" customWidth="1"/>
    <col min="54" max="58" width="3.54296875" style="1" hidden="1" customWidth="1"/>
    <col min="59" max="59" width="15.08984375" style="1" hidden="1" customWidth="1"/>
    <col min="60" max="60" width="11" style="1" hidden="1" customWidth="1"/>
    <col min="61" max="61" width="9.90625" style="1" hidden="1" customWidth="1"/>
    <col min="62" max="62" width="14.6328125" style="1" hidden="1" customWidth="1"/>
    <col min="63" max="63" width="12.54296875" style="1" hidden="1" customWidth="1"/>
    <col min="64" max="64" width="9" style="1" hidden="1" customWidth="1"/>
    <col min="65" max="16384" width="9" style="1"/>
  </cols>
  <sheetData>
    <row r="1" spans="1:64" ht="5" customHeight="1" thickBot="1">
      <c r="A1" s="78" t="s">
        <v>87</v>
      </c>
    </row>
    <row r="2" spans="1:64" ht="26" customHeight="1" thickBot="1">
      <c r="B2" s="352" t="s">
        <v>72</v>
      </c>
      <c r="C2" s="471"/>
      <c r="D2" s="471"/>
      <c r="E2" s="471"/>
      <c r="F2" s="471"/>
      <c r="G2" s="471"/>
      <c r="H2" s="471"/>
      <c r="I2" s="471"/>
      <c r="J2" s="471"/>
      <c r="K2" s="471"/>
      <c r="L2" s="471"/>
      <c r="M2" s="471"/>
      <c r="N2" s="471"/>
      <c r="O2" s="471"/>
      <c r="P2" s="471"/>
      <c r="Q2" s="471"/>
      <c r="R2" s="471"/>
      <c r="S2" s="471"/>
      <c r="U2" s="359" t="s">
        <v>114</v>
      </c>
      <c r="V2" s="360"/>
      <c r="W2" s="360"/>
      <c r="X2" s="360"/>
      <c r="Y2" s="360"/>
      <c r="Z2" s="360"/>
      <c r="AA2" s="360"/>
      <c r="AB2" s="361"/>
      <c r="AC2" s="157">
        <v>10</v>
      </c>
      <c r="AD2" s="362"/>
      <c r="AU2" s="32"/>
      <c r="AV2" s="32"/>
      <c r="BH2" s="1">
        <v>8</v>
      </c>
      <c r="BI2" s="1">
        <f>(((-1)^BH2)/(2*BH2+1))</f>
        <v>5.8823529411764705E-2</v>
      </c>
      <c r="BJ2" s="1">
        <f>((2 * BH2 + 1) ^ 2)</f>
        <v>289</v>
      </c>
      <c r="BK2" s="1">
        <v>9.8695877000000003</v>
      </c>
    </row>
    <row r="3" spans="1:64" ht="5" customHeight="1" thickBot="1">
      <c r="AU3" s="32"/>
      <c r="AV3" s="32"/>
    </row>
    <row r="4" spans="1:64" ht="24" customHeight="1" thickBot="1">
      <c r="B4" s="469" t="s">
        <v>154</v>
      </c>
      <c r="C4" s="470"/>
      <c r="D4" s="470"/>
      <c r="E4" s="470"/>
      <c r="F4" s="470"/>
      <c r="G4" s="470"/>
      <c r="H4" s="470"/>
      <c r="I4" s="470"/>
      <c r="J4" s="470"/>
      <c r="K4" s="470"/>
      <c r="L4" s="470"/>
      <c r="M4" s="470"/>
      <c r="N4" s="470"/>
      <c r="O4" s="470"/>
      <c r="P4" s="470"/>
      <c r="Q4" s="470"/>
      <c r="R4" s="470"/>
      <c r="S4" s="470"/>
      <c r="T4" s="470"/>
      <c r="U4" s="470"/>
      <c r="V4" s="470"/>
      <c r="W4" s="470"/>
      <c r="X4" s="355"/>
      <c r="Y4" s="355"/>
      <c r="Z4" s="355"/>
      <c r="AA4" s="355"/>
      <c r="AB4" s="355"/>
      <c r="AC4" s="355"/>
      <c r="AD4" s="356"/>
      <c r="AF4" s="512" t="s">
        <v>140</v>
      </c>
      <c r="AG4" s="513"/>
      <c r="AH4" s="513"/>
      <c r="AI4" s="513"/>
      <c r="AJ4" s="513"/>
      <c r="AK4" s="513"/>
      <c r="AL4" s="513"/>
      <c r="AM4" s="513"/>
      <c r="AN4" s="513"/>
      <c r="AO4" s="513"/>
      <c r="AP4" s="513"/>
      <c r="AQ4" s="513"/>
      <c r="AR4" s="513"/>
      <c r="AS4" s="513"/>
      <c r="AT4" s="514"/>
      <c r="AU4" s="32"/>
      <c r="AV4" s="32"/>
    </row>
    <row r="5" spans="1:64" ht="11" customHeight="1">
      <c r="B5" s="472" t="s">
        <v>175</v>
      </c>
      <c r="C5" s="447"/>
      <c r="D5" s="447"/>
      <c r="E5" s="447"/>
      <c r="F5" s="447"/>
      <c r="G5" s="448"/>
      <c r="H5" s="473" t="s">
        <v>176</v>
      </c>
      <c r="I5" s="474"/>
      <c r="J5" s="474"/>
      <c r="K5" s="474"/>
      <c r="L5" s="474"/>
      <c r="M5" s="474"/>
      <c r="N5" s="474"/>
      <c r="O5" s="474"/>
      <c r="P5" s="474"/>
      <c r="Q5" s="474"/>
      <c r="R5" s="474"/>
      <c r="S5" s="474"/>
      <c r="T5" s="474"/>
      <c r="U5" s="474"/>
      <c r="V5" s="474"/>
      <c r="W5" s="475"/>
      <c r="X5" s="347" t="s">
        <v>0</v>
      </c>
      <c r="Y5" s="164"/>
      <c r="Z5" s="164"/>
      <c r="AA5" s="164"/>
      <c r="AB5" s="164"/>
      <c r="AC5" s="164"/>
      <c r="AD5" s="165"/>
      <c r="AE5" s="11"/>
      <c r="AF5" s="186" t="s">
        <v>10</v>
      </c>
      <c r="AG5" s="347"/>
      <c r="AH5" s="347"/>
      <c r="AI5" s="347"/>
      <c r="AJ5" s="363"/>
      <c r="AK5" s="192" t="s">
        <v>139</v>
      </c>
      <c r="AL5" s="347"/>
      <c r="AM5" s="347"/>
      <c r="AN5" s="347"/>
      <c r="AO5" s="363"/>
      <c r="AP5" s="192" t="s">
        <v>11</v>
      </c>
      <c r="AQ5" s="347"/>
      <c r="AR5" s="347"/>
      <c r="AS5" s="347"/>
      <c r="AT5" s="348"/>
      <c r="AU5" s="92"/>
      <c r="AV5" s="93"/>
      <c r="AW5" s="4"/>
      <c r="AX5" s="4"/>
      <c r="BG5" s="1" t="s">
        <v>156</v>
      </c>
      <c r="BH5" s="1">
        <f>G22*EXP(-L22/ (0.00008617 * (B26+ 273.15)))</f>
        <v>8.9079327281260495E-6</v>
      </c>
    </row>
    <row r="6" spans="1:64" ht="11" customHeight="1" thickBot="1">
      <c r="B6" s="476" t="s">
        <v>141</v>
      </c>
      <c r="C6" s="419"/>
      <c r="D6" s="419"/>
      <c r="E6" s="477" t="s">
        <v>142</v>
      </c>
      <c r="F6" s="419"/>
      <c r="G6" s="420"/>
      <c r="H6" s="476" t="s">
        <v>143</v>
      </c>
      <c r="I6" s="419"/>
      <c r="J6" s="419"/>
      <c r="K6" s="419"/>
      <c r="L6" s="477" t="s">
        <v>142</v>
      </c>
      <c r="M6" s="419"/>
      <c r="N6" s="419"/>
      <c r="O6" s="419"/>
      <c r="P6" s="477" t="s">
        <v>149</v>
      </c>
      <c r="Q6" s="419"/>
      <c r="R6" s="419"/>
      <c r="S6" s="419"/>
      <c r="T6" s="477" t="s">
        <v>148</v>
      </c>
      <c r="U6" s="508"/>
      <c r="V6" s="508"/>
      <c r="W6" s="509"/>
      <c r="X6" s="510"/>
      <c r="Y6" s="510"/>
      <c r="Z6" s="510"/>
      <c r="AA6" s="510"/>
      <c r="AB6" s="510"/>
      <c r="AC6" s="510"/>
      <c r="AD6" s="511"/>
      <c r="AE6" s="11"/>
      <c r="AF6" s="547"/>
      <c r="AG6" s="506"/>
      <c r="AH6" s="506"/>
      <c r="AI6" s="506"/>
      <c r="AJ6" s="548"/>
      <c r="AK6" s="505"/>
      <c r="AL6" s="506"/>
      <c r="AM6" s="506"/>
      <c r="AN6" s="506"/>
      <c r="AO6" s="548"/>
      <c r="AP6" s="505"/>
      <c r="AQ6" s="506"/>
      <c r="AR6" s="506"/>
      <c r="AS6" s="506"/>
      <c r="AT6" s="507"/>
      <c r="AU6" s="32"/>
      <c r="AV6" s="32"/>
      <c r="BG6" s="1" t="s">
        <v>159</v>
      </c>
      <c r="BH6" s="1">
        <f>IF(Q41=1,1,0)*(B22-0.3)+IF(Q42=1,1,0)*(B22*2)</f>
        <v>0</v>
      </c>
    </row>
    <row r="7" spans="1:64" ht="11" customHeight="1">
      <c r="B7" s="525">
        <v>30</v>
      </c>
      <c r="C7" s="526"/>
      <c r="D7" s="527"/>
      <c r="E7" s="534">
        <v>80</v>
      </c>
      <c r="F7" s="526"/>
      <c r="G7" s="535"/>
      <c r="H7" s="552">
        <v>40</v>
      </c>
      <c r="I7" s="553"/>
      <c r="J7" s="553"/>
      <c r="K7" s="553"/>
      <c r="L7" s="500">
        <f>IF(AU7=0,"",IF(BA7&gt;100,100,BA7))</f>
        <v>46.017149987406476</v>
      </c>
      <c r="M7" s="500"/>
      <c r="N7" s="500"/>
      <c r="O7" s="500"/>
      <c r="P7" s="554">
        <v>30</v>
      </c>
      <c r="Q7" s="545"/>
      <c r="R7" s="545"/>
      <c r="S7" s="545"/>
      <c r="T7" s="484">
        <f>IF(AV7=0,"",8760*$AC$2*P7/100)</f>
        <v>26280</v>
      </c>
      <c r="U7" s="484"/>
      <c r="V7" s="484"/>
      <c r="W7" s="485"/>
      <c r="X7" s="544"/>
      <c r="Y7" s="545"/>
      <c r="Z7" s="545"/>
      <c r="AA7" s="545"/>
      <c r="AB7" s="545"/>
      <c r="AC7" s="545"/>
      <c r="AD7" s="546"/>
      <c r="AE7" s="3"/>
      <c r="AF7" s="549">
        <f t="shared" ref="AF7:AF16" si="0">IF(AW7=0,"",(22120*EXP(((-7.76451)*(1-(H7+273.15)/647.3)+1.45838*(1-(H7+273.15)/647.3)^1.5+(-2.7758)*(1-(H7+273.15)/647.3)^3+(-1.23303)*(1-(H7+273.15)/647.3)^6)/(1-(1-(H7+273.15)/647.3))))*L7/100)</f>
        <v>3.3988141060375665</v>
      </c>
      <c r="AG7" s="550"/>
      <c r="AH7" s="550"/>
      <c r="AI7" s="550"/>
      <c r="AJ7" s="550"/>
      <c r="AK7" s="551">
        <f t="shared" ref="AK7:AK12" si="1">IF(AX7=1,IF($Q$37=1,($G$26/L7)^$F$31*EXP(($B$31/0.00008617)*(1/(H7+273.15)-1/($B$26+273.15)))*($L$26/$Q$22)^$N$31,0)+IF($Q$38=1,(($Q$26/AF7)^$J$31)*($L$26/$Q$22)^$N$31,0),"")</f>
        <v>216.32629839452397</v>
      </c>
      <c r="AL7" s="550"/>
      <c r="AM7" s="550"/>
      <c r="AN7" s="550"/>
      <c r="AO7" s="550"/>
      <c r="AP7" s="555">
        <f t="shared" ref="AP7:AP12" si="2">IF(AY7=0,"",T7/AK7)</f>
        <v>121.48314927513799</v>
      </c>
      <c r="AQ7" s="550"/>
      <c r="AR7" s="550"/>
      <c r="AS7" s="550"/>
      <c r="AT7" s="556"/>
      <c r="AU7" s="93">
        <f>IF(H7="",0,1)*IF($B$7="",0,1)*IF($E$7="",0,1)</f>
        <v>1</v>
      </c>
      <c r="AV7" s="92">
        <f>IF(P7="",0,1)*IF($AC$2="",0,1)</f>
        <v>1</v>
      </c>
      <c r="AW7" s="4">
        <f t="shared" ref="AW7:AW16" si="3">AU7</f>
        <v>1</v>
      </c>
      <c r="AX7" s="4">
        <f t="shared" ref="AX7:AX16" si="4">IF(AF7="",0,1)*IF($Q$22="",0,1)*IF($L$26="",0,1)*IF($B$26="",0,1)*IF($G$26="",0,1)*($Q$37*IF($B$31="",0,1)*IF($F$31="",0,1)*IF($N$31="",0,1)+$Q$38*IF($J$31="",0,1)*IF($N$31="",0,1))</f>
        <v>1</v>
      </c>
      <c r="AY7" s="1">
        <f t="shared" ref="AY7:AY16" si="5">IF(T7="",0,1)*IF(AK7="",0,1)</f>
        <v>1</v>
      </c>
      <c r="AZ7" s="1">
        <f>IF(AW7=0,"",(22120*EXP(((-7.76451)*(1-($B$7+273.15)/647.3)+1.45838*(1-($B$7+273.15)/647.3)^1.5+(-2.7758)*(1-($B$7+273.15)/647.3)^3+(-1.23303)*(1-($B$7+273.15)/647.3)^6)/(1-(1-($B$7+273.15)/647.3))))*$E$7/100)</f>
        <v>3.3988503736343372</v>
      </c>
      <c r="BA7" s="1">
        <f t="shared" ref="BA7:BA12" si="6">AZ7/(22120*EXP(((-7.7645)*(1-(H7+273.15)/647.3)+1.45838*(1-(H7+273.15)/647.3)^1.5+(-2.7758)*(1-(H7+273.15)/647.3)^3+(-1.23303)*(1-(H7+273.15)/647.3)^6)/(1-(1-(H7+273.15)/647.3))))*100</f>
        <v>46.017149987406476</v>
      </c>
      <c r="BH7" s="124" t="s">
        <v>157</v>
      </c>
      <c r="BI7" s="124" t="s">
        <v>158</v>
      </c>
    </row>
    <row r="8" spans="1:64" ht="11" customHeight="1">
      <c r="B8" s="528"/>
      <c r="C8" s="529"/>
      <c r="D8" s="530"/>
      <c r="E8" s="536"/>
      <c r="F8" s="529"/>
      <c r="G8" s="537"/>
      <c r="H8" s="498">
        <v>50</v>
      </c>
      <c r="I8" s="499"/>
      <c r="J8" s="499"/>
      <c r="K8" s="499"/>
      <c r="L8" s="500">
        <f t="shared" ref="L8:L16" si="7">IF(AU8=0,"",IF(BA8&gt;100,100,BA8))</f>
        <v>27.519037278441672</v>
      </c>
      <c r="M8" s="500"/>
      <c r="N8" s="500"/>
      <c r="O8" s="500"/>
      <c r="P8" s="501">
        <v>20</v>
      </c>
      <c r="Q8" s="487"/>
      <c r="R8" s="487"/>
      <c r="S8" s="487"/>
      <c r="T8" s="484">
        <f t="shared" ref="T8:T16" si="8">IF(AV8=0,"",8760*$AC$2*P8/100)</f>
        <v>17520</v>
      </c>
      <c r="U8" s="484"/>
      <c r="V8" s="484"/>
      <c r="W8" s="485"/>
      <c r="X8" s="486"/>
      <c r="Y8" s="487"/>
      <c r="Z8" s="487"/>
      <c r="AA8" s="487"/>
      <c r="AB8" s="487"/>
      <c r="AC8" s="487"/>
      <c r="AD8" s="488"/>
      <c r="AE8" s="3"/>
      <c r="AF8" s="489">
        <f t="shared" si="0"/>
        <v>3.3988162801228707</v>
      </c>
      <c r="AG8" s="490"/>
      <c r="AH8" s="490"/>
      <c r="AI8" s="490"/>
      <c r="AJ8" s="490"/>
      <c r="AK8" s="502">
        <f t="shared" si="1"/>
        <v>216.32602164424557</v>
      </c>
      <c r="AL8" s="490"/>
      <c r="AM8" s="490"/>
      <c r="AN8" s="490"/>
      <c r="AO8" s="490"/>
      <c r="AP8" s="496">
        <f t="shared" si="2"/>
        <v>80.988869794000777</v>
      </c>
      <c r="AQ8" s="490"/>
      <c r="AR8" s="490"/>
      <c r="AS8" s="490"/>
      <c r="AT8" s="497"/>
      <c r="AU8" s="93">
        <f t="shared" ref="AU8:AU16" si="9">IF(H8="",0,1)*IF($B$7="",0,1)*IF($E$7="",0,1)</f>
        <v>1</v>
      </c>
      <c r="AV8" s="92">
        <f t="shared" ref="AV8:AV16" si="10">IF(P8="",0,1)*IF($AC$2="",0,1)</f>
        <v>1</v>
      </c>
      <c r="AW8" s="4">
        <f t="shared" si="3"/>
        <v>1</v>
      </c>
      <c r="AX8" s="4">
        <f t="shared" si="4"/>
        <v>1</v>
      </c>
      <c r="AY8" s="1">
        <f t="shared" si="5"/>
        <v>1</v>
      </c>
      <c r="AZ8" s="1">
        <f t="shared" ref="AZ8:AZ16" si="11">IF(AW8=0,"",(22120*EXP(((-7.76451)*(1-($B$7+273.15)/647.3)+1.45838*(1-($B$7+273.15)/647.3)^1.5+(-2.7758)*(1-($B$7+273.15)/647.3)^3+(-1.23303)*(1-($B$7+273.15)/647.3)^6)/(1-(1-($B$7+273.15)/647.3))))*$E$7/100)</f>
        <v>3.3988503736343372</v>
      </c>
      <c r="BA8" s="1">
        <f t="shared" si="6"/>
        <v>27.519037278441672</v>
      </c>
      <c r="BG8" s="1" t="s">
        <v>161</v>
      </c>
      <c r="BH8" s="1">
        <v>0</v>
      </c>
      <c r="BI8" s="1">
        <f>BH8*3600</f>
        <v>0</v>
      </c>
      <c r="BL8" s="1">
        <v>0</v>
      </c>
    </row>
    <row r="9" spans="1:64" ht="11" customHeight="1">
      <c r="B9" s="528"/>
      <c r="C9" s="529"/>
      <c r="D9" s="530"/>
      <c r="E9" s="536"/>
      <c r="F9" s="529"/>
      <c r="G9" s="537"/>
      <c r="H9" s="498">
        <v>60</v>
      </c>
      <c r="I9" s="499"/>
      <c r="J9" s="499"/>
      <c r="K9" s="499"/>
      <c r="L9" s="500">
        <f t="shared" si="7"/>
        <v>17.044670067624619</v>
      </c>
      <c r="M9" s="500"/>
      <c r="N9" s="500"/>
      <c r="O9" s="500"/>
      <c r="P9" s="501">
        <v>20</v>
      </c>
      <c r="Q9" s="487"/>
      <c r="R9" s="487"/>
      <c r="S9" s="487"/>
      <c r="T9" s="484">
        <f t="shared" si="8"/>
        <v>17520</v>
      </c>
      <c r="U9" s="484"/>
      <c r="V9" s="484"/>
      <c r="W9" s="485"/>
      <c r="X9" s="486"/>
      <c r="Y9" s="487"/>
      <c r="Z9" s="487"/>
      <c r="AA9" s="487"/>
      <c r="AB9" s="487"/>
      <c r="AC9" s="487"/>
      <c r="AD9" s="488"/>
      <c r="AE9" s="3"/>
      <c r="AF9" s="489">
        <f t="shared" si="0"/>
        <v>3.3988183236925522</v>
      </c>
      <c r="AG9" s="490"/>
      <c r="AH9" s="490"/>
      <c r="AI9" s="490"/>
      <c r="AJ9" s="490"/>
      <c r="AK9" s="502">
        <f t="shared" si="1"/>
        <v>216.32576150844304</v>
      </c>
      <c r="AL9" s="490"/>
      <c r="AM9" s="490"/>
      <c r="AN9" s="490"/>
      <c r="AO9" s="490"/>
      <c r="AP9" s="496">
        <f>IF(AY9=0,"",T9/AK9)</f>
        <v>80.988967184642078</v>
      </c>
      <c r="AQ9" s="490"/>
      <c r="AR9" s="490"/>
      <c r="AS9" s="490"/>
      <c r="AT9" s="497"/>
      <c r="AU9" s="93">
        <f t="shared" si="9"/>
        <v>1</v>
      </c>
      <c r="AV9" s="92">
        <f t="shared" si="10"/>
        <v>1</v>
      </c>
      <c r="AW9" s="4">
        <f t="shared" si="3"/>
        <v>1</v>
      </c>
      <c r="AX9" s="4">
        <f t="shared" si="4"/>
        <v>1</v>
      </c>
      <c r="AY9" s="1">
        <f t="shared" si="5"/>
        <v>1</v>
      </c>
      <c r="AZ9" s="1">
        <f t="shared" si="11"/>
        <v>3.3988503736343372</v>
      </c>
      <c r="BA9" s="1">
        <f t="shared" si="6"/>
        <v>17.044670067624619</v>
      </c>
      <c r="BH9" s="1">
        <f>BH8+1000</f>
        <v>1000</v>
      </c>
      <c r="BI9" s="1">
        <f t="shared" ref="BI9:BI72" si="12">BH9*3600</f>
        <v>3600000</v>
      </c>
      <c r="BJ9" s="1" t="e">
        <f t="shared" ref="BJ9:BJ72" si="13">EXP(-(9.8695877*$BH$5*BI9)/($BH$6^2))+(-0.33333)*EXP(-(9*9.8695877*$BH$5*BI9)/($BH$6^2))+0.2*EXP(-(25*9.8695877*$BH$5*BI9)/($BH$6^2))+(-0.14286)*EXP(-(49*9.8695877*$BH$5*BI9)/($BH$6^2))+0.111111*EXP(-(81*9.8695877*$BH$5*BI9)/($BH$6^2))+(-0.09091)*EXP(-(121*9.8695877*$BH$5*BI9)/($BH$6^2))+0.076923*EXP(-(169*9.8695877*$BH$5*BI9)/($BH$6^2))+(-0.06667)*EXP(-(225*9.8695877*$BH$5*BI9)/($BH$6^2))+0.058824*EXP(-(289*9.8695877*$BH$5*BI9)/($BH$6^2))</f>
        <v>#DIV/0!</v>
      </c>
      <c r="BK9" s="1" t="e">
        <f t="shared" ref="BK9:BK72" si="14">1-(4/3.14159)*BJ9</f>
        <v>#DIV/0!</v>
      </c>
      <c r="BL9" s="1" t="e">
        <f>IF(BK9&lt;0.9,BH9,BL8)</f>
        <v>#DIV/0!</v>
      </c>
    </row>
    <row r="10" spans="1:64" ht="11" customHeight="1">
      <c r="B10" s="528"/>
      <c r="C10" s="529"/>
      <c r="D10" s="530"/>
      <c r="E10" s="536"/>
      <c r="F10" s="529"/>
      <c r="G10" s="537"/>
      <c r="H10" s="498">
        <v>70</v>
      </c>
      <c r="I10" s="499"/>
      <c r="J10" s="499"/>
      <c r="K10" s="499"/>
      <c r="L10" s="500">
        <f t="shared" si="7"/>
        <v>10.897944532196274</v>
      </c>
      <c r="M10" s="500"/>
      <c r="N10" s="500"/>
      <c r="O10" s="500"/>
      <c r="P10" s="501">
        <v>20</v>
      </c>
      <c r="Q10" s="487"/>
      <c r="R10" s="487"/>
      <c r="S10" s="487"/>
      <c r="T10" s="484">
        <f t="shared" si="8"/>
        <v>17520</v>
      </c>
      <c r="U10" s="484"/>
      <c r="V10" s="484"/>
      <c r="W10" s="485"/>
      <c r="X10" s="486"/>
      <c r="Y10" s="487"/>
      <c r="Z10" s="487"/>
      <c r="AA10" s="487"/>
      <c r="AB10" s="487"/>
      <c r="AC10" s="487"/>
      <c r="AD10" s="488"/>
      <c r="AE10" s="3"/>
      <c r="AF10" s="489">
        <f t="shared" si="0"/>
        <v>3.3988202481568566</v>
      </c>
      <c r="AG10" s="490"/>
      <c r="AH10" s="490"/>
      <c r="AI10" s="490"/>
      <c r="AJ10" s="490"/>
      <c r="AK10" s="502">
        <f t="shared" si="1"/>
        <v>216.32551653456505</v>
      </c>
      <c r="AL10" s="490"/>
      <c r="AM10" s="490"/>
      <c r="AN10" s="490"/>
      <c r="AO10" s="490"/>
      <c r="AP10" s="496">
        <f t="shared" si="2"/>
        <v>80.989058899117936</v>
      </c>
      <c r="AQ10" s="490"/>
      <c r="AR10" s="490"/>
      <c r="AS10" s="490"/>
      <c r="AT10" s="497"/>
      <c r="AU10" s="93">
        <f t="shared" si="9"/>
        <v>1</v>
      </c>
      <c r="AV10" s="92">
        <f t="shared" si="10"/>
        <v>1</v>
      </c>
      <c r="AW10" s="4">
        <f t="shared" si="3"/>
        <v>1</v>
      </c>
      <c r="AX10" s="4">
        <f t="shared" si="4"/>
        <v>1</v>
      </c>
      <c r="AY10" s="1">
        <f t="shared" si="5"/>
        <v>1</v>
      </c>
      <c r="AZ10" s="1">
        <f t="shared" si="11"/>
        <v>3.3988503736343372</v>
      </c>
      <c r="BA10" s="1">
        <f t="shared" si="6"/>
        <v>10.897944532196274</v>
      </c>
      <c r="BH10" s="1">
        <f t="shared" ref="BH10:BH17" si="15">BH9+1000</f>
        <v>2000</v>
      </c>
      <c r="BI10" s="1">
        <f t="shared" si="12"/>
        <v>7200000</v>
      </c>
      <c r="BJ10" s="1" t="e">
        <f t="shared" si="13"/>
        <v>#DIV/0!</v>
      </c>
      <c r="BK10" s="1" t="e">
        <f t="shared" si="14"/>
        <v>#DIV/0!</v>
      </c>
      <c r="BL10" s="1" t="e">
        <f t="shared" ref="BL10:BL74" si="16">IF(BK10&lt;0.9,BH10,BL9)</f>
        <v>#DIV/0!</v>
      </c>
    </row>
    <row r="11" spans="1:64" ht="11" customHeight="1">
      <c r="B11" s="528"/>
      <c r="C11" s="529"/>
      <c r="D11" s="530"/>
      <c r="E11" s="536"/>
      <c r="F11" s="529"/>
      <c r="G11" s="537"/>
      <c r="H11" s="498">
        <v>80</v>
      </c>
      <c r="I11" s="499"/>
      <c r="J11" s="499"/>
      <c r="K11" s="499"/>
      <c r="L11" s="500">
        <f t="shared" si="7"/>
        <v>7.1717932780024336</v>
      </c>
      <c r="M11" s="500"/>
      <c r="N11" s="500"/>
      <c r="O11" s="500"/>
      <c r="P11" s="501">
        <v>10</v>
      </c>
      <c r="Q11" s="487"/>
      <c r="R11" s="487"/>
      <c r="S11" s="487"/>
      <c r="T11" s="484">
        <f t="shared" si="8"/>
        <v>8760</v>
      </c>
      <c r="U11" s="484"/>
      <c r="V11" s="484"/>
      <c r="W11" s="485"/>
      <c r="X11" s="486"/>
      <c r="Y11" s="487"/>
      <c r="Z11" s="487"/>
      <c r="AA11" s="487"/>
      <c r="AB11" s="487"/>
      <c r="AC11" s="487"/>
      <c r="AD11" s="488"/>
      <c r="AE11" s="3"/>
      <c r="AF11" s="489">
        <f t="shared" si="0"/>
        <v>3.3988220636336628</v>
      </c>
      <c r="AG11" s="490"/>
      <c r="AH11" s="490"/>
      <c r="AI11" s="490"/>
      <c r="AJ11" s="490"/>
      <c r="AK11" s="502">
        <f t="shared" si="1"/>
        <v>216.32528543458656</v>
      </c>
      <c r="AL11" s="490"/>
      <c r="AM11" s="490"/>
      <c r="AN11" s="490"/>
      <c r="AO11" s="490"/>
      <c r="AP11" s="496">
        <f t="shared" si="2"/>
        <v>40.494572709804139</v>
      </c>
      <c r="AQ11" s="490"/>
      <c r="AR11" s="490"/>
      <c r="AS11" s="490"/>
      <c r="AT11" s="497"/>
      <c r="AU11" s="93">
        <f t="shared" si="9"/>
        <v>1</v>
      </c>
      <c r="AV11" s="92">
        <f t="shared" si="10"/>
        <v>1</v>
      </c>
      <c r="AW11" s="4">
        <f t="shared" si="3"/>
        <v>1</v>
      </c>
      <c r="AX11" s="4">
        <f t="shared" si="4"/>
        <v>1</v>
      </c>
      <c r="AY11" s="1">
        <f t="shared" si="5"/>
        <v>1</v>
      </c>
      <c r="AZ11" s="1">
        <f t="shared" si="11"/>
        <v>3.3988503736343372</v>
      </c>
      <c r="BA11" s="1">
        <f t="shared" si="6"/>
        <v>7.1717932780024336</v>
      </c>
      <c r="BH11" s="1">
        <f t="shared" si="15"/>
        <v>3000</v>
      </c>
      <c r="BI11" s="1">
        <f t="shared" si="12"/>
        <v>10800000</v>
      </c>
      <c r="BJ11" s="1" t="e">
        <f t="shared" si="13"/>
        <v>#DIV/0!</v>
      </c>
      <c r="BK11" s="1" t="e">
        <f t="shared" si="14"/>
        <v>#DIV/0!</v>
      </c>
      <c r="BL11" s="1" t="e">
        <f t="shared" si="16"/>
        <v>#DIV/0!</v>
      </c>
    </row>
    <row r="12" spans="1:64" ht="11" customHeight="1">
      <c r="B12" s="528"/>
      <c r="C12" s="529"/>
      <c r="D12" s="530"/>
      <c r="E12" s="536"/>
      <c r="F12" s="529"/>
      <c r="G12" s="537"/>
      <c r="H12" s="498"/>
      <c r="I12" s="499"/>
      <c r="J12" s="499"/>
      <c r="K12" s="499"/>
      <c r="L12" s="500" t="str">
        <f t="shared" si="7"/>
        <v/>
      </c>
      <c r="M12" s="500"/>
      <c r="N12" s="500"/>
      <c r="O12" s="500"/>
      <c r="P12" s="501"/>
      <c r="Q12" s="487"/>
      <c r="R12" s="487"/>
      <c r="S12" s="487"/>
      <c r="T12" s="484" t="str">
        <f t="shared" si="8"/>
        <v/>
      </c>
      <c r="U12" s="484"/>
      <c r="V12" s="484"/>
      <c r="W12" s="485"/>
      <c r="X12" s="486"/>
      <c r="Y12" s="487"/>
      <c r="Z12" s="487"/>
      <c r="AA12" s="487"/>
      <c r="AB12" s="487"/>
      <c r="AC12" s="487"/>
      <c r="AD12" s="488"/>
      <c r="AE12" s="3"/>
      <c r="AF12" s="489" t="str">
        <f t="shared" si="0"/>
        <v/>
      </c>
      <c r="AG12" s="490"/>
      <c r="AH12" s="490"/>
      <c r="AI12" s="490"/>
      <c r="AJ12" s="490"/>
      <c r="AK12" s="502" t="str">
        <f t="shared" si="1"/>
        <v/>
      </c>
      <c r="AL12" s="490"/>
      <c r="AM12" s="490"/>
      <c r="AN12" s="490"/>
      <c r="AO12" s="490"/>
      <c r="AP12" s="496" t="str">
        <f t="shared" si="2"/>
        <v/>
      </c>
      <c r="AQ12" s="490"/>
      <c r="AR12" s="490"/>
      <c r="AS12" s="490"/>
      <c r="AT12" s="497"/>
      <c r="AU12" s="93">
        <f t="shared" si="9"/>
        <v>0</v>
      </c>
      <c r="AV12" s="92">
        <f t="shared" si="10"/>
        <v>0</v>
      </c>
      <c r="AW12" s="4">
        <f t="shared" si="3"/>
        <v>0</v>
      </c>
      <c r="AX12" s="4">
        <f t="shared" si="4"/>
        <v>0</v>
      </c>
      <c r="AY12" s="1">
        <f t="shared" si="5"/>
        <v>0</v>
      </c>
      <c r="AZ12" s="1" t="str">
        <f t="shared" si="11"/>
        <v/>
      </c>
      <c r="BA12" s="1" t="e">
        <f t="shared" si="6"/>
        <v>#VALUE!</v>
      </c>
      <c r="BH12" s="1">
        <f t="shared" si="15"/>
        <v>4000</v>
      </c>
      <c r="BI12" s="1">
        <f t="shared" si="12"/>
        <v>14400000</v>
      </c>
      <c r="BJ12" s="1" t="e">
        <f t="shared" si="13"/>
        <v>#DIV/0!</v>
      </c>
      <c r="BK12" s="1" t="e">
        <f t="shared" si="14"/>
        <v>#DIV/0!</v>
      </c>
      <c r="BL12" s="1" t="e">
        <f t="shared" si="16"/>
        <v>#DIV/0!</v>
      </c>
    </row>
    <row r="13" spans="1:64" ht="11" customHeight="1">
      <c r="B13" s="528"/>
      <c r="C13" s="529"/>
      <c r="D13" s="530"/>
      <c r="E13" s="536"/>
      <c r="F13" s="529"/>
      <c r="G13" s="537"/>
      <c r="H13" s="498"/>
      <c r="I13" s="499"/>
      <c r="J13" s="499"/>
      <c r="K13" s="499"/>
      <c r="L13" s="500" t="str">
        <f t="shared" si="7"/>
        <v/>
      </c>
      <c r="M13" s="500"/>
      <c r="N13" s="500"/>
      <c r="O13" s="500"/>
      <c r="P13" s="501"/>
      <c r="Q13" s="487"/>
      <c r="R13" s="487"/>
      <c r="S13" s="487"/>
      <c r="T13" s="484" t="str">
        <f t="shared" si="8"/>
        <v/>
      </c>
      <c r="U13" s="484"/>
      <c r="V13" s="484"/>
      <c r="W13" s="485"/>
      <c r="X13" s="486"/>
      <c r="Y13" s="487"/>
      <c r="Z13" s="487"/>
      <c r="AA13" s="487"/>
      <c r="AB13" s="487"/>
      <c r="AC13" s="487"/>
      <c r="AD13" s="488"/>
      <c r="AE13" s="9"/>
      <c r="AF13" s="489" t="str">
        <f t="shared" si="0"/>
        <v/>
      </c>
      <c r="AG13" s="490"/>
      <c r="AH13" s="490"/>
      <c r="AI13" s="490"/>
      <c r="AJ13" s="490"/>
      <c r="AK13" s="502" t="str">
        <f>IF(AX13=1,IF($Q$37=1,($G$26/L13)^$F$31*EXP(($B$31/0.00008617)*(1/(H13+273.15)-1/($B$26+273.15)))*($L$26/$Q$22)^$N$31,0)+IF($Q$38=1,(($Q$26/AF13)^$J$31)*($L$26/$Q$22)^$N$31,0),"")</f>
        <v/>
      </c>
      <c r="AL13" s="490"/>
      <c r="AM13" s="490"/>
      <c r="AN13" s="490"/>
      <c r="AO13" s="490"/>
      <c r="AP13" s="496" t="str">
        <f>IF(AY13=0,"",T13/AK13)</f>
        <v/>
      </c>
      <c r="AQ13" s="490"/>
      <c r="AR13" s="490"/>
      <c r="AS13" s="490"/>
      <c r="AT13" s="497"/>
      <c r="AU13" s="93">
        <f t="shared" si="9"/>
        <v>0</v>
      </c>
      <c r="AV13" s="92">
        <f t="shared" si="10"/>
        <v>0</v>
      </c>
      <c r="AW13" s="4">
        <f t="shared" si="3"/>
        <v>0</v>
      </c>
      <c r="AX13" s="4">
        <f t="shared" si="4"/>
        <v>0</v>
      </c>
      <c r="AY13" s="1">
        <f t="shared" si="5"/>
        <v>0</v>
      </c>
      <c r="AZ13" s="1" t="str">
        <f t="shared" si="11"/>
        <v/>
      </c>
      <c r="BA13" s="1" t="e">
        <f>AZ13/(22120*EXP(((-7.7645)*(1-(H13+273.15)/647.3)+1.45838*(1-(H13+273.15)/647.3)^1.5+(-2.7758)*(1-(H13+273.15)/647.3)^3+(-1.23303)*(1-(H13+273.15)/647.3)^6)/(1-(1-(H13+273.15)/647.3))))*100</f>
        <v>#VALUE!</v>
      </c>
      <c r="BH13" s="1">
        <f t="shared" si="15"/>
        <v>5000</v>
      </c>
      <c r="BI13" s="1">
        <f t="shared" si="12"/>
        <v>18000000</v>
      </c>
      <c r="BJ13" s="1" t="e">
        <f t="shared" si="13"/>
        <v>#DIV/0!</v>
      </c>
      <c r="BK13" s="1" t="e">
        <f t="shared" si="14"/>
        <v>#DIV/0!</v>
      </c>
      <c r="BL13" s="1" t="e">
        <f t="shared" si="16"/>
        <v>#DIV/0!</v>
      </c>
    </row>
    <row r="14" spans="1:64" ht="11" customHeight="1">
      <c r="B14" s="528"/>
      <c r="C14" s="529"/>
      <c r="D14" s="530"/>
      <c r="E14" s="536"/>
      <c r="F14" s="529"/>
      <c r="G14" s="537"/>
      <c r="H14" s="498"/>
      <c r="I14" s="499"/>
      <c r="J14" s="499"/>
      <c r="K14" s="499"/>
      <c r="L14" s="500" t="str">
        <f t="shared" si="7"/>
        <v/>
      </c>
      <c r="M14" s="500"/>
      <c r="N14" s="500"/>
      <c r="O14" s="500"/>
      <c r="P14" s="501"/>
      <c r="Q14" s="540"/>
      <c r="R14" s="540"/>
      <c r="S14" s="540"/>
      <c r="T14" s="484" t="str">
        <f t="shared" si="8"/>
        <v/>
      </c>
      <c r="U14" s="484"/>
      <c r="V14" s="484"/>
      <c r="W14" s="485"/>
      <c r="X14" s="486"/>
      <c r="Y14" s="487"/>
      <c r="Z14" s="487"/>
      <c r="AA14" s="487"/>
      <c r="AB14" s="487"/>
      <c r="AC14" s="487"/>
      <c r="AD14" s="488"/>
      <c r="AE14" s="3"/>
      <c r="AF14" s="489" t="str">
        <f t="shared" si="0"/>
        <v/>
      </c>
      <c r="AG14" s="490"/>
      <c r="AH14" s="490"/>
      <c r="AI14" s="490"/>
      <c r="AJ14" s="490"/>
      <c r="AK14" s="502" t="str">
        <f>IF(AX14=1,IF($Q$37=1,($G$26/L14)^$F$31*EXP(($B$31/0.00008617)*(1/(H14+273.15)-1/($B$26+273.15)))*($L$26/$Q$22)^$N$31,0)+IF($Q$38=1,(($Q$26/AF14)^$J$31)*($L$26/$Q$22)^$N$31,0),"")</f>
        <v/>
      </c>
      <c r="AL14" s="490"/>
      <c r="AM14" s="490"/>
      <c r="AN14" s="490"/>
      <c r="AO14" s="490"/>
      <c r="AP14" s="496" t="str">
        <f>IF(AY14=0,"",T14/AK14)</f>
        <v/>
      </c>
      <c r="AQ14" s="490"/>
      <c r="AR14" s="490"/>
      <c r="AS14" s="490"/>
      <c r="AT14" s="497"/>
      <c r="AU14" s="93">
        <f t="shared" si="9"/>
        <v>0</v>
      </c>
      <c r="AV14" s="92">
        <f t="shared" si="10"/>
        <v>0</v>
      </c>
      <c r="AW14" s="4">
        <f t="shared" si="3"/>
        <v>0</v>
      </c>
      <c r="AX14" s="4">
        <f t="shared" si="4"/>
        <v>0</v>
      </c>
      <c r="AY14" s="1">
        <f t="shared" si="5"/>
        <v>0</v>
      </c>
      <c r="AZ14" s="1" t="str">
        <f t="shared" si="11"/>
        <v/>
      </c>
      <c r="BA14" s="1" t="e">
        <f>AZ14/(22120*EXP(((-7.7645)*(1-(H14+273.15)/647.3)+1.45838*(1-(H14+273.15)/647.3)^1.5+(-2.7758)*(1-(H14+273.15)/647.3)^3+(-1.23303)*(1-(H14+273.15)/647.3)^6)/(1-(1-(H14+273.15)/647.3))))*100</f>
        <v>#VALUE!</v>
      </c>
      <c r="BH14" s="1">
        <f t="shared" si="15"/>
        <v>6000</v>
      </c>
      <c r="BI14" s="1">
        <f t="shared" si="12"/>
        <v>21600000</v>
      </c>
      <c r="BJ14" s="1" t="e">
        <f t="shared" si="13"/>
        <v>#DIV/0!</v>
      </c>
      <c r="BK14" s="1" t="e">
        <f t="shared" si="14"/>
        <v>#DIV/0!</v>
      </c>
      <c r="BL14" s="1" t="e">
        <f t="shared" si="16"/>
        <v>#DIV/0!</v>
      </c>
    </row>
    <row r="15" spans="1:64" ht="11" customHeight="1">
      <c r="B15" s="528"/>
      <c r="C15" s="529"/>
      <c r="D15" s="530"/>
      <c r="E15" s="536"/>
      <c r="F15" s="529"/>
      <c r="G15" s="537"/>
      <c r="H15" s="498"/>
      <c r="I15" s="499"/>
      <c r="J15" s="499"/>
      <c r="K15" s="499"/>
      <c r="L15" s="500" t="str">
        <f t="shared" si="7"/>
        <v/>
      </c>
      <c r="M15" s="500"/>
      <c r="N15" s="500"/>
      <c r="O15" s="500"/>
      <c r="P15" s="501"/>
      <c r="Q15" s="540"/>
      <c r="R15" s="540"/>
      <c r="S15" s="540"/>
      <c r="T15" s="484" t="str">
        <f t="shared" si="8"/>
        <v/>
      </c>
      <c r="U15" s="484"/>
      <c r="V15" s="484"/>
      <c r="W15" s="485"/>
      <c r="X15" s="486"/>
      <c r="Y15" s="487"/>
      <c r="Z15" s="487"/>
      <c r="AA15" s="487"/>
      <c r="AB15" s="487"/>
      <c r="AC15" s="487"/>
      <c r="AD15" s="488"/>
      <c r="AE15" s="3"/>
      <c r="AF15" s="489" t="str">
        <f t="shared" si="0"/>
        <v/>
      </c>
      <c r="AG15" s="490"/>
      <c r="AH15" s="490"/>
      <c r="AI15" s="490"/>
      <c r="AJ15" s="490"/>
      <c r="AK15" s="502" t="str">
        <f>IF(AX15=1,IF($Q$37=1,($G$26/L15)^$F$31*EXP(($B$31/0.00008617)*(1/(H15+273.15)-1/($B$26+273.15)))*($L$26/$Q$22)^$N$31,0)+IF($Q$38=1,(($Q$26/AF15)^$J$31)*($L$26/$Q$22)^$N$31,0),"")</f>
        <v/>
      </c>
      <c r="AL15" s="490"/>
      <c r="AM15" s="490"/>
      <c r="AN15" s="490"/>
      <c r="AO15" s="490"/>
      <c r="AP15" s="496" t="str">
        <f>IF(AY15=0,"",T15/AK15)</f>
        <v/>
      </c>
      <c r="AQ15" s="490"/>
      <c r="AR15" s="490"/>
      <c r="AS15" s="490"/>
      <c r="AT15" s="497"/>
      <c r="AU15" s="93">
        <f t="shared" si="9"/>
        <v>0</v>
      </c>
      <c r="AV15" s="92">
        <f t="shared" si="10"/>
        <v>0</v>
      </c>
      <c r="AW15" s="4">
        <f t="shared" si="3"/>
        <v>0</v>
      </c>
      <c r="AX15" s="4">
        <f t="shared" si="4"/>
        <v>0</v>
      </c>
      <c r="AY15" s="1">
        <f t="shared" si="5"/>
        <v>0</v>
      </c>
      <c r="AZ15" s="1" t="str">
        <f t="shared" si="11"/>
        <v/>
      </c>
      <c r="BA15" s="1" t="e">
        <f>AZ15/(22120*EXP(((-7.7645)*(1-(H15+273.15)/647.3)+1.45838*(1-(H15+273.15)/647.3)^1.5+(-2.7758)*(1-(H15+273.15)/647.3)^3+(-1.23303)*(1-(H15+273.15)/647.3)^6)/(1-(1-(H15+273.15)/647.3))))*100</f>
        <v>#VALUE!</v>
      </c>
      <c r="BH15" s="1">
        <f t="shared" si="15"/>
        <v>7000</v>
      </c>
      <c r="BI15" s="1">
        <f t="shared" si="12"/>
        <v>25200000</v>
      </c>
      <c r="BJ15" s="1" t="e">
        <f t="shared" si="13"/>
        <v>#DIV/0!</v>
      </c>
      <c r="BK15" s="1" t="e">
        <f t="shared" si="14"/>
        <v>#DIV/0!</v>
      </c>
      <c r="BL15" s="1" t="e">
        <f t="shared" si="16"/>
        <v>#DIV/0!</v>
      </c>
    </row>
    <row r="16" spans="1:64" ht="11" customHeight="1" thickBot="1">
      <c r="B16" s="531"/>
      <c r="C16" s="532"/>
      <c r="D16" s="533"/>
      <c r="E16" s="538"/>
      <c r="F16" s="532"/>
      <c r="G16" s="539"/>
      <c r="H16" s="520"/>
      <c r="I16" s="521"/>
      <c r="J16" s="521"/>
      <c r="K16" s="521"/>
      <c r="L16" s="541" t="str">
        <f t="shared" si="7"/>
        <v/>
      </c>
      <c r="M16" s="541"/>
      <c r="N16" s="541"/>
      <c r="O16" s="541"/>
      <c r="P16" s="542"/>
      <c r="Q16" s="543"/>
      <c r="R16" s="543"/>
      <c r="S16" s="543"/>
      <c r="T16" s="494" t="str">
        <f t="shared" si="8"/>
        <v/>
      </c>
      <c r="U16" s="494"/>
      <c r="V16" s="494"/>
      <c r="W16" s="495"/>
      <c r="X16" s="491"/>
      <c r="Y16" s="492"/>
      <c r="Z16" s="492"/>
      <c r="AA16" s="492"/>
      <c r="AB16" s="492"/>
      <c r="AC16" s="492"/>
      <c r="AD16" s="493"/>
      <c r="AE16" s="3"/>
      <c r="AF16" s="503" t="str">
        <f t="shared" si="0"/>
        <v/>
      </c>
      <c r="AG16" s="504"/>
      <c r="AH16" s="504"/>
      <c r="AI16" s="504"/>
      <c r="AJ16" s="504"/>
      <c r="AK16" s="522" t="str">
        <f>IF(AX16=1,IF($Q$37=1,($G$26/L16)^$F$31*EXP(($B$31/0.00008617)*(1/(H16+273.15)-1/($B$26+273.15)))*($L$26/$Q$22)^$N$31,0)+IF($Q$38=1,(($Q$26/AF16)^$J$31)*($L$26/$Q$22)^$N$31,0),"")</f>
        <v/>
      </c>
      <c r="AL16" s="504"/>
      <c r="AM16" s="504"/>
      <c r="AN16" s="504"/>
      <c r="AO16" s="504"/>
      <c r="AP16" s="523" t="str">
        <f>IF(AY16=0,"",T16/AK16)</f>
        <v/>
      </c>
      <c r="AQ16" s="504"/>
      <c r="AR16" s="504"/>
      <c r="AS16" s="504"/>
      <c r="AT16" s="524"/>
      <c r="AU16" s="93">
        <f t="shared" si="9"/>
        <v>0</v>
      </c>
      <c r="AV16" s="92">
        <f t="shared" si="10"/>
        <v>0</v>
      </c>
      <c r="AW16" s="4">
        <f t="shared" si="3"/>
        <v>0</v>
      </c>
      <c r="AX16" s="4">
        <f t="shared" si="4"/>
        <v>0</v>
      </c>
      <c r="AY16" s="1">
        <f t="shared" si="5"/>
        <v>0</v>
      </c>
      <c r="AZ16" s="1" t="str">
        <f t="shared" si="11"/>
        <v/>
      </c>
      <c r="BA16" s="1" t="e">
        <f>AZ16/(22120*EXP(((-7.7645)*(1-(H16+273.15)/647.3)+1.45838*(1-(H16+273.15)/647.3)^1.5+(-2.7758)*(1-(H16+273.15)/647.3)^3+(-1.23303)*(1-(H16+273.15)/647.3)^6)/(1-(1-(H16+273.15)/647.3))))*100</f>
        <v>#VALUE!</v>
      </c>
      <c r="BH16" s="1">
        <f t="shared" si="15"/>
        <v>8000</v>
      </c>
      <c r="BI16" s="1">
        <f t="shared" si="12"/>
        <v>28800000</v>
      </c>
      <c r="BJ16" s="1" t="e">
        <f t="shared" si="13"/>
        <v>#DIV/0!</v>
      </c>
      <c r="BK16" s="1" t="e">
        <f t="shared" si="14"/>
        <v>#DIV/0!</v>
      </c>
      <c r="BL16" s="1" t="e">
        <f t="shared" si="16"/>
        <v>#DIV/0!</v>
      </c>
    </row>
    <row r="17" spans="2:64" ht="11" customHeight="1" thickBot="1">
      <c r="L17" s="557" t="s">
        <v>2</v>
      </c>
      <c r="M17" s="558"/>
      <c r="N17" s="558"/>
      <c r="O17" s="559"/>
      <c r="P17" s="562">
        <f>SUM(P7:S16)</f>
        <v>100</v>
      </c>
      <c r="Q17" s="563"/>
      <c r="R17" s="560" t="s">
        <v>69</v>
      </c>
      <c r="S17" s="561"/>
      <c r="T17" s="564">
        <f>SUM(T7:W16)</f>
        <v>87600</v>
      </c>
      <c r="U17" s="565"/>
      <c r="V17" s="565"/>
      <c r="W17" s="123" t="s">
        <v>146</v>
      </c>
      <c r="AK17" s="481" t="s">
        <v>58</v>
      </c>
      <c r="AL17" s="482"/>
      <c r="AM17" s="482"/>
      <c r="AN17" s="482"/>
      <c r="AO17" s="483"/>
      <c r="AP17" s="478">
        <f>SUM(AP7:AT16)</f>
        <v>404.9446178627029</v>
      </c>
      <c r="AQ17" s="479"/>
      <c r="AR17" s="479"/>
      <c r="AS17" s="479"/>
      <c r="AT17" s="480"/>
      <c r="AU17" s="92"/>
      <c r="AV17" s="92"/>
      <c r="AW17" s="4"/>
      <c r="AX17" s="4"/>
      <c r="BH17" s="1">
        <f t="shared" si="15"/>
        <v>9000</v>
      </c>
      <c r="BI17" s="1">
        <f t="shared" si="12"/>
        <v>32400000</v>
      </c>
      <c r="BJ17" s="1" t="e">
        <f t="shared" si="13"/>
        <v>#DIV/0!</v>
      </c>
      <c r="BK17" s="1" t="e">
        <f t="shared" si="14"/>
        <v>#DIV/0!</v>
      </c>
      <c r="BL17" s="1" t="e">
        <f t="shared" si="16"/>
        <v>#DIV/0!</v>
      </c>
    </row>
    <row r="18" spans="2:64" ht="5" customHeight="1" thickBot="1">
      <c r="AU18" s="89"/>
      <c r="AV18" s="89"/>
    </row>
    <row r="19" spans="2:64" ht="12" customHeight="1" thickBot="1">
      <c r="B19" s="518" t="s">
        <v>122</v>
      </c>
      <c r="C19" s="519"/>
      <c r="D19" s="519"/>
      <c r="E19" s="519"/>
      <c r="F19" s="519"/>
      <c r="G19" s="519"/>
      <c r="H19" s="519"/>
      <c r="I19" s="519"/>
      <c r="J19" s="519"/>
      <c r="K19" s="385" t="s">
        <v>174</v>
      </c>
      <c r="L19" s="385"/>
      <c r="M19" s="385"/>
      <c r="N19" s="385"/>
      <c r="O19" s="385"/>
      <c r="P19" s="385"/>
      <c r="Q19" s="385"/>
      <c r="R19" s="385"/>
      <c r="S19" s="385"/>
      <c r="T19" s="385"/>
      <c r="U19" s="386"/>
    </row>
    <row r="20" spans="2:64" ht="12" customHeight="1" thickBot="1">
      <c r="B20" s="286" t="s">
        <v>123</v>
      </c>
      <c r="C20" s="287"/>
      <c r="D20" s="287"/>
      <c r="E20" s="287"/>
      <c r="F20" s="287"/>
      <c r="G20" s="287"/>
      <c r="H20" s="287"/>
      <c r="I20" s="287"/>
      <c r="J20" s="287"/>
      <c r="K20" s="287"/>
      <c r="L20" s="287"/>
      <c r="M20" s="287"/>
      <c r="N20" s="287"/>
      <c r="O20" s="287"/>
      <c r="P20" s="287"/>
      <c r="Q20" s="287"/>
      <c r="R20" s="287"/>
      <c r="S20" s="287"/>
      <c r="T20" s="287"/>
      <c r="U20" s="402"/>
      <c r="X20" s="186" t="s">
        <v>120</v>
      </c>
      <c r="Y20" s="225"/>
      <c r="Z20" s="225"/>
      <c r="AA20" s="225"/>
      <c r="AB20" s="225"/>
      <c r="AC20" s="225"/>
      <c r="AD20" s="225"/>
      <c r="AE20" s="225"/>
      <c r="AF20" s="225"/>
      <c r="AG20" s="225"/>
      <c r="AH20" s="225"/>
      <c r="AI20" s="225"/>
      <c r="AJ20" s="226"/>
      <c r="AK20" s="4"/>
      <c r="AL20" s="463" t="s">
        <v>121</v>
      </c>
      <c r="AM20" s="464"/>
      <c r="AN20" s="464"/>
      <c r="AO20" s="464"/>
      <c r="AP20" s="464"/>
      <c r="AQ20" s="464"/>
      <c r="AR20" s="464"/>
      <c r="AS20" s="464"/>
      <c r="AT20" s="465"/>
      <c r="BG20" s="1" t="s">
        <v>162</v>
      </c>
      <c r="BH20" s="1" t="e">
        <f>BL17</f>
        <v>#DIV/0!</v>
      </c>
      <c r="BI20" s="1" t="e">
        <f t="shared" si="12"/>
        <v>#DIV/0!</v>
      </c>
      <c r="BL20" s="1" t="e">
        <f>BL17</f>
        <v>#DIV/0!</v>
      </c>
    </row>
    <row r="21" spans="2:64" ht="12" customHeight="1" thickBot="1">
      <c r="B21" s="403" t="s">
        <v>96</v>
      </c>
      <c r="C21" s="404"/>
      <c r="D21" s="404"/>
      <c r="E21" s="404"/>
      <c r="F21" s="405"/>
      <c r="G21" s="411" t="s">
        <v>49</v>
      </c>
      <c r="H21" s="404"/>
      <c r="I21" s="404"/>
      <c r="J21" s="404"/>
      <c r="K21" s="405"/>
      <c r="L21" s="411" t="s">
        <v>97</v>
      </c>
      <c r="M21" s="404"/>
      <c r="N21" s="404"/>
      <c r="O21" s="404"/>
      <c r="P21" s="405"/>
      <c r="Q21" s="412" t="s">
        <v>65</v>
      </c>
      <c r="R21" s="413"/>
      <c r="S21" s="413"/>
      <c r="T21" s="413"/>
      <c r="U21" s="414"/>
      <c r="X21" s="398"/>
      <c r="Y21" s="233"/>
      <c r="Z21" s="233"/>
      <c r="AA21" s="233"/>
      <c r="AB21" s="233"/>
      <c r="AC21" s="233"/>
      <c r="AD21" s="233"/>
      <c r="AE21" s="233"/>
      <c r="AF21" s="233"/>
      <c r="AG21" s="233"/>
      <c r="AH21" s="233"/>
      <c r="AI21" s="233"/>
      <c r="AJ21" s="234"/>
      <c r="AK21" s="4"/>
      <c r="AL21" s="515"/>
      <c r="AM21" s="516"/>
      <c r="AN21" s="516"/>
      <c r="AO21" s="516"/>
      <c r="AP21" s="516"/>
      <c r="AQ21" s="516"/>
      <c r="AR21" s="516"/>
      <c r="AS21" s="516"/>
      <c r="AT21" s="517"/>
      <c r="BH21" s="1" t="e">
        <f>BH20+100</f>
        <v>#DIV/0!</v>
      </c>
      <c r="BI21" s="1" t="e">
        <f t="shared" si="12"/>
        <v>#DIV/0!</v>
      </c>
      <c r="BJ21" s="1" t="e">
        <f t="shared" si="13"/>
        <v>#DIV/0!</v>
      </c>
      <c r="BK21" s="1" t="e">
        <f t="shared" si="14"/>
        <v>#DIV/0!</v>
      </c>
      <c r="BL21" s="1" t="e">
        <f t="shared" si="16"/>
        <v>#DIV/0!</v>
      </c>
    </row>
    <row r="22" spans="2:64" ht="12" customHeight="1" thickBot="1">
      <c r="B22" s="406">
        <v>1.5</v>
      </c>
      <c r="C22" s="407"/>
      <c r="D22" s="408" t="str">
        <f>IF(Q41=1,"(PKG)",(IF(Q42=1,"(Resin)","(NA)")))</f>
        <v>(NA)</v>
      </c>
      <c r="E22" s="409"/>
      <c r="F22" s="410"/>
      <c r="G22" s="382">
        <v>0.75</v>
      </c>
      <c r="H22" s="383"/>
      <c r="I22" s="383"/>
      <c r="J22" s="383"/>
      <c r="K22" s="387"/>
      <c r="L22" s="382">
        <v>0.35</v>
      </c>
      <c r="M22" s="383"/>
      <c r="N22" s="383"/>
      <c r="O22" s="383"/>
      <c r="P22" s="387"/>
      <c r="Q22" s="382">
        <v>5</v>
      </c>
      <c r="R22" s="383"/>
      <c r="S22" s="383"/>
      <c r="T22" s="383"/>
      <c r="U22" s="384"/>
      <c r="X22" s="399">
        <f>AP17+IF(AL22="-",0,AL22)</f>
        <v>404.9446178627029</v>
      </c>
      <c r="Y22" s="400"/>
      <c r="Z22" s="400"/>
      <c r="AA22" s="400"/>
      <c r="AB22" s="400"/>
      <c r="AC22" s="400"/>
      <c r="AD22" s="400"/>
      <c r="AE22" s="400"/>
      <c r="AF22" s="400"/>
      <c r="AG22" s="400"/>
      <c r="AH22" s="400"/>
      <c r="AI22" s="400"/>
      <c r="AJ22" s="401"/>
      <c r="AL22" s="379" t="str">
        <f>IF(Q43=1,"-",IF(BL76&gt;=10000,"Over 10000",BL76))</f>
        <v>-</v>
      </c>
      <c r="AM22" s="380"/>
      <c r="AN22" s="380"/>
      <c r="AO22" s="380"/>
      <c r="AP22" s="380"/>
      <c r="AQ22" s="380"/>
      <c r="AR22" s="380"/>
      <c r="AS22" s="380"/>
      <c r="AT22" s="381"/>
      <c r="BG22" s="125"/>
      <c r="BH22" s="1" t="e">
        <f t="shared" ref="BH22:BH29" si="17">BH21+100</f>
        <v>#DIV/0!</v>
      </c>
      <c r="BI22" s="1" t="e">
        <f t="shared" si="12"/>
        <v>#DIV/0!</v>
      </c>
      <c r="BJ22" s="1" t="e">
        <f t="shared" si="13"/>
        <v>#DIV/0!</v>
      </c>
      <c r="BK22" s="1" t="e">
        <f t="shared" si="14"/>
        <v>#DIV/0!</v>
      </c>
      <c r="BL22" s="1" t="e">
        <f t="shared" si="16"/>
        <v>#DIV/0!</v>
      </c>
    </row>
    <row r="23" spans="2:64" ht="8" customHeight="1" thickBot="1">
      <c r="BH23" s="1" t="e">
        <f t="shared" si="17"/>
        <v>#DIV/0!</v>
      </c>
      <c r="BI23" s="1" t="e">
        <f t="shared" si="12"/>
        <v>#DIV/0!</v>
      </c>
      <c r="BJ23" s="1" t="e">
        <f t="shared" si="13"/>
        <v>#DIV/0!</v>
      </c>
      <c r="BK23" s="1" t="e">
        <f t="shared" si="14"/>
        <v>#DIV/0!</v>
      </c>
      <c r="BL23" s="1" t="e">
        <f t="shared" si="16"/>
        <v>#DIV/0!</v>
      </c>
    </row>
    <row r="24" spans="2:64" ht="12" customHeight="1">
      <c r="B24" s="429" t="s">
        <v>124</v>
      </c>
      <c r="C24" s="430"/>
      <c r="D24" s="430"/>
      <c r="E24" s="430"/>
      <c r="F24" s="430"/>
      <c r="G24" s="430"/>
      <c r="H24" s="430"/>
      <c r="I24" s="430"/>
      <c r="J24" s="430"/>
      <c r="K24" s="430"/>
      <c r="L24" s="430"/>
      <c r="M24" s="430"/>
      <c r="N24" s="430"/>
      <c r="O24" s="430"/>
      <c r="P24" s="430"/>
      <c r="Q24" s="430"/>
      <c r="R24" s="430"/>
      <c r="S24" s="430"/>
      <c r="T24" s="430"/>
      <c r="U24" s="431"/>
      <c r="X24" s="374" t="s">
        <v>126</v>
      </c>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5"/>
      <c r="BH24" s="1" t="e">
        <f t="shared" si="17"/>
        <v>#DIV/0!</v>
      </c>
      <c r="BI24" s="1" t="e">
        <f t="shared" si="12"/>
        <v>#DIV/0!</v>
      </c>
      <c r="BJ24" s="1" t="e">
        <f t="shared" si="13"/>
        <v>#DIV/0!</v>
      </c>
      <c r="BK24" s="1" t="e">
        <f t="shared" si="14"/>
        <v>#DIV/0!</v>
      </c>
      <c r="BL24" s="1" t="e">
        <f t="shared" si="16"/>
        <v>#DIV/0!</v>
      </c>
    </row>
    <row r="25" spans="2:64" ht="12" customHeight="1">
      <c r="B25" s="275" t="s">
        <v>12</v>
      </c>
      <c r="C25" s="276"/>
      <c r="D25" s="276"/>
      <c r="E25" s="276"/>
      <c r="F25" s="277"/>
      <c r="G25" s="278" t="s">
        <v>13</v>
      </c>
      <c r="H25" s="276"/>
      <c r="I25" s="276"/>
      <c r="J25" s="276"/>
      <c r="K25" s="277"/>
      <c r="L25" s="278" t="s">
        <v>5</v>
      </c>
      <c r="M25" s="276"/>
      <c r="N25" s="276"/>
      <c r="O25" s="276"/>
      <c r="P25" s="277"/>
      <c r="Q25" s="449" t="s">
        <v>110</v>
      </c>
      <c r="R25" s="450"/>
      <c r="S25" s="450"/>
      <c r="T25" s="450"/>
      <c r="U25" s="451"/>
      <c r="X25" s="375" t="s">
        <v>127</v>
      </c>
      <c r="Y25" s="376"/>
      <c r="Z25" s="376"/>
      <c r="AA25" s="376"/>
      <c r="AB25" s="376"/>
      <c r="AC25" s="376"/>
      <c r="AD25" s="376"/>
      <c r="AE25" s="376"/>
      <c r="AF25" s="376"/>
      <c r="AG25" s="376"/>
      <c r="AH25" s="376"/>
      <c r="AI25" s="376"/>
      <c r="AJ25" s="376"/>
      <c r="AK25" s="376"/>
      <c r="AL25" s="376"/>
      <c r="AM25" s="376"/>
      <c r="AN25" s="376"/>
      <c r="AO25" s="376"/>
      <c r="AP25" s="376"/>
      <c r="AQ25" s="376"/>
      <c r="AR25" s="376"/>
      <c r="AS25" s="376"/>
      <c r="AT25" s="377"/>
      <c r="AV25" s="4"/>
      <c r="BH25" s="1" t="e">
        <f t="shared" si="17"/>
        <v>#DIV/0!</v>
      </c>
      <c r="BI25" s="1" t="e">
        <f t="shared" si="12"/>
        <v>#DIV/0!</v>
      </c>
      <c r="BJ25" s="1" t="e">
        <f t="shared" si="13"/>
        <v>#DIV/0!</v>
      </c>
      <c r="BK25" s="1" t="e">
        <f t="shared" si="14"/>
        <v>#DIV/0!</v>
      </c>
      <c r="BL25" s="1" t="e">
        <f t="shared" si="16"/>
        <v>#DIV/0!</v>
      </c>
    </row>
    <row r="26" spans="2:64" ht="12" customHeight="1" thickBot="1">
      <c r="B26" s="456">
        <v>85</v>
      </c>
      <c r="C26" s="383"/>
      <c r="D26" s="383"/>
      <c r="E26" s="383"/>
      <c r="F26" s="387"/>
      <c r="G26" s="382">
        <v>85</v>
      </c>
      <c r="H26" s="383"/>
      <c r="I26" s="383"/>
      <c r="J26" s="383"/>
      <c r="K26" s="387"/>
      <c r="L26" s="382">
        <v>5.5</v>
      </c>
      <c r="M26" s="383"/>
      <c r="N26" s="383"/>
      <c r="O26" s="383"/>
      <c r="P26" s="387"/>
      <c r="Q26" s="388">
        <f>(22120*EXP(((-7.76451)*(1-(B26+273.15)/647.3)+1.45838*(1-(B26+273.15)/647.3)^1.5+(-2.7758)*(1-(B26+273.15)/647.3)^3+(-1.23303)*(1-(B26+273.15)/647.3)^6)/(1-(1-(B26+273.15)/647.3))))*G26/100</f>
        <v>49.162997206434511</v>
      </c>
      <c r="R26" s="389"/>
      <c r="S26" s="389"/>
      <c r="T26" s="389"/>
      <c r="U26" s="390"/>
      <c r="X26" s="378"/>
      <c r="Y26" s="376"/>
      <c r="Z26" s="376"/>
      <c r="AA26" s="376"/>
      <c r="AB26" s="376"/>
      <c r="AC26" s="376"/>
      <c r="AD26" s="376"/>
      <c r="AE26" s="376"/>
      <c r="AF26" s="376"/>
      <c r="AG26" s="376"/>
      <c r="AH26" s="376"/>
      <c r="AI26" s="376"/>
      <c r="AJ26" s="376"/>
      <c r="AK26" s="376"/>
      <c r="AL26" s="376"/>
      <c r="AM26" s="376"/>
      <c r="AN26" s="376"/>
      <c r="AO26" s="376"/>
      <c r="AP26" s="376"/>
      <c r="AQ26" s="376"/>
      <c r="AR26" s="376"/>
      <c r="AS26" s="376"/>
      <c r="AT26" s="377"/>
      <c r="BH26" s="1" t="e">
        <f t="shared" si="17"/>
        <v>#DIV/0!</v>
      </c>
      <c r="BI26" s="1" t="e">
        <f t="shared" si="12"/>
        <v>#DIV/0!</v>
      </c>
      <c r="BJ26" s="1" t="e">
        <f t="shared" si="13"/>
        <v>#DIV/0!</v>
      </c>
      <c r="BK26" s="1" t="e">
        <f t="shared" si="14"/>
        <v>#DIV/0!</v>
      </c>
      <c r="BL26" s="1" t="e">
        <f t="shared" si="16"/>
        <v>#DIV/0!</v>
      </c>
    </row>
    <row r="27" spans="2:64" ht="12" customHeight="1" thickBot="1">
      <c r="X27" s="100" t="str">
        <f>IF(AE327=0," * This sheet is not available, please see the top sheet.","")</f>
        <v xml:space="preserve"> * This sheet is not available, please see the top sheet.</v>
      </c>
      <c r="Y27" s="98"/>
      <c r="Z27" s="98"/>
      <c r="AA27" s="98"/>
      <c r="AB27" s="98"/>
      <c r="AC27" s="98"/>
      <c r="AD27" s="98"/>
      <c r="AE27" s="98"/>
      <c r="AF27" s="98"/>
      <c r="AG27" s="98"/>
      <c r="AH27" s="98"/>
      <c r="AI27" s="98"/>
      <c r="AJ27" s="98"/>
      <c r="AK27" s="98"/>
      <c r="AL27" s="98"/>
      <c r="AM27" s="98"/>
      <c r="AN27" s="98"/>
      <c r="AO27" s="98"/>
      <c r="AP27" s="98"/>
      <c r="AQ27" s="98"/>
      <c r="AR27" s="98"/>
      <c r="AS27" s="98"/>
      <c r="AT27" s="25"/>
      <c r="AX27" s="1" ph="1"/>
      <c r="BH27" s="1" t="e">
        <f t="shared" si="17"/>
        <v>#DIV/0!</v>
      </c>
      <c r="BI27" s="1" t="e">
        <f t="shared" si="12"/>
        <v>#DIV/0!</v>
      </c>
      <c r="BJ27" s="1" t="e">
        <f t="shared" si="13"/>
        <v>#DIV/0!</v>
      </c>
      <c r="BK27" s="1" t="e">
        <f t="shared" si="14"/>
        <v>#DIV/0!</v>
      </c>
      <c r="BL27" s="1" t="e">
        <f t="shared" si="16"/>
        <v>#DIV/0!</v>
      </c>
    </row>
    <row r="28" spans="2:64" ht="12" customHeight="1">
      <c r="B28" s="463" t="s">
        <v>125</v>
      </c>
      <c r="C28" s="464"/>
      <c r="D28" s="464"/>
      <c r="E28" s="464"/>
      <c r="F28" s="464"/>
      <c r="G28" s="464"/>
      <c r="H28" s="464"/>
      <c r="I28" s="464"/>
      <c r="J28" s="464"/>
      <c r="K28" s="464"/>
      <c r="L28" s="464"/>
      <c r="M28" s="464"/>
      <c r="N28" s="464"/>
      <c r="O28" s="464"/>
      <c r="P28" s="464"/>
      <c r="Q28" s="464"/>
      <c r="R28" s="464"/>
      <c r="S28" s="464"/>
      <c r="T28" s="464"/>
      <c r="U28" s="465"/>
      <c r="V28" s="8"/>
      <c r="X28" s="26"/>
      <c r="Y28" s="437" t="s">
        <v>14</v>
      </c>
      <c r="Z28" s="438"/>
      <c r="AA28" s="438"/>
      <c r="AB28" s="439"/>
      <c r="AC28" s="192" t="s">
        <v>15</v>
      </c>
      <c r="AD28" s="391"/>
      <c r="AE28" s="391"/>
      <c r="AF28" s="392"/>
      <c r="AG28" s="192" t="s">
        <v>16</v>
      </c>
      <c r="AH28" s="391"/>
      <c r="AI28" s="391"/>
      <c r="AJ28" s="396"/>
      <c r="AK28" s="5"/>
      <c r="AL28" s="436" t="s">
        <v>15</v>
      </c>
      <c r="AM28" s="391"/>
      <c r="AN28" s="391"/>
      <c r="AO28" s="392"/>
      <c r="AP28" s="192" t="s">
        <v>16</v>
      </c>
      <c r="AQ28" s="391"/>
      <c r="AR28" s="391"/>
      <c r="AS28" s="396"/>
      <c r="AT28" s="27"/>
      <c r="BH28" s="1" t="e">
        <f t="shared" si="17"/>
        <v>#DIV/0!</v>
      </c>
      <c r="BI28" s="1" t="e">
        <f t="shared" si="12"/>
        <v>#DIV/0!</v>
      </c>
      <c r="BJ28" s="1" t="e">
        <f t="shared" si="13"/>
        <v>#DIV/0!</v>
      </c>
      <c r="BK28" s="1" t="e">
        <f t="shared" si="14"/>
        <v>#DIV/0!</v>
      </c>
      <c r="BL28" s="1" t="e">
        <f t="shared" si="16"/>
        <v>#DIV/0!</v>
      </c>
    </row>
    <row r="29" spans="2:64" ht="12" customHeight="1" thickBot="1">
      <c r="B29" s="460" t="s">
        <v>173</v>
      </c>
      <c r="C29" s="461"/>
      <c r="D29" s="461"/>
      <c r="E29" s="461"/>
      <c r="F29" s="461"/>
      <c r="G29" s="461"/>
      <c r="H29" s="461"/>
      <c r="I29" s="461"/>
      <c r="J29" s="461"/>
      <c r="K29" s="461"/>
      <c r="L29" s="461"/>
      <c r="M29" s="461"/>
      <c r="N29" s="461"/>
      <c r="O29" s="461"/>
      <c r="P29" s="461"/>
      <c r="Q29" s="461"/>
      <c r="R29" s="461"/>
      <c r="S29" s="461"/>
      <c r="T29" s="461"/>
      <c r="U29" s="462"/>
      <c r="V29" s="8"/>
      <c r="X29" s="26"/>
      <c r="Y29" s="440"/>
      <c r="Z29" s="441"/>
      <c r="AA29" s="441"/>
      <c r="AB29" s="442"/>
      <c r="AC29" s="393"/>
      <c r="AD29" s="394"/>
      <c r="AE29" s="394"/>
      <c r="AF29" s="395"/>
      <c r="AG29" s="393"/>
      <c r="AH29" s="394"/>
      <c r="AI29" s="394"/>
      <c r="AJ29" s="397"/>
      <c r="AK29" s="5"/>
      <c r="AL29" s="415"/>
      <c r="AM29" s="416"/>
      <c r="AN29" s="416"/>
      <c r="AO29" s="417"/>
      <c r="AP29" s="434"/>
      <c r="AQ29" s="416"/>
      <c r="AR29" s="416"/>
      <c r="AS29" s="435"/>
      <c r="AT29" s="27"/>
      <c r="BH29" s="1" t="e">
        <f t="shared" si="17"/>
        <v>#DIV/0!</v>
      </c>
      <c r="BI29" s="1" t="e">
        <f t="shared" si="12"/>
        <v>#DIV/0!</v>
      </c>
      <c r="BJ29" s="1" t="e">
        <f t="shared" si="13"/>
        <v>#DIV/0!</v>
      </c>
      <c r="BK29" s="1" t="e">
        <f t="shared" si="14"/>
        <v>#DIV/0!</v>
      </c>
      <c r="BL29" s="1" t="e">
        <f t="shared" si="16"/>
        <v>#DIV/0!</v>
      </c>
    </row>
    <row r="30" spans="2:64" ht="12" customHeight="1" thickBot="1">
      <c r="B30" s="466" t="s">
        <v>98</v>
      </c>
      <c r="C30" s="467"/>
      <c r="D30" s="467"/>
      <c r="E30" s="467"/>
      <c r="F30" s="468" t="s">
        <v>99</v>
      </c>
      <c r="G30" s="467"/>
      <c r="H30" s="467"/>
      <c r="I30" s="467"/>
      <c r="J30" s="468" t="s">
        <v>39</v>
      </c>
      <c r="K30" s="467"/>
      <c r="L30" s="467"/>
      <c r="M30" s="467"/>
      <c r="N30" s="432" t="s">
        <v>43</v>
      </c>
      <c r="O30" s="433"/>
      <c r="P30" s="433"/>
      <c r="Q30" s="433"/>
      <c r="R30" s="426"/>
      <c r="S30" s="427"/>
      <c r="T30" s="427"/>
      <c r="U30" s="428"/>
      <c r="V30" s="8"/>
      <c r="X30" s="26"/>
      <c r="Y30" s="218">
        <v>1</v>
      </c>
      <c r="Z30" s="219"/>
      <c r="AA30" s="219"/>
      <c r="AB30" s="219"/>
      <c r="AC30" s="215">
        <f>IF(Y30="","",IF($AV$30=0,"",ROUNDUP(LN(1-$P$35/100)/LN(1-Y30/100),0)))</f>
        <v>230</v>
      </c>
      <c r="AD30" s="216"/>
      <c r="AE30" s="216"/>
      <c r="AF30" s="216"/>
      <c r="AG30" s="446">
        <f>IF(Y30="","",IF($AV$30=0,"",ROUNDUP($X$22*((1/AC30)*LN(1-$P$35/100)/LN(1-$B$35/100))^(1/$I$35),0)))</f>
        <v>721</v>
      </c>
      <c r="AH30" s="447"/>
      <c r="AI30" s="447"/>
      <c r="AJ30" s="448"/>
      <c r="AK30" s="5"/>
      <c r="AL30" s="157">
        <v>45</v>
      </c>
      <c r="AM30" s="158"/>
      <c r="AN30" s="158"/>
      <c r="AO30" s="159"/>
      <c r="AP30" s="160">
        <f>IF(AL30="","",IF(AV30=0,"",ROUNDUP($X$22*(((1/$AL$30)*LN(1-$P$35/100))/LN(1-$B$35/100))^(1/$I$35),0)))</f>
        <v>1083</v>
      </c>
      <c r="AQ30" s="161"/>
      <c r="AR30" s="161"/>
      <c r="AS30" s="162"/>
      <c r="AT30" s="27"/>
      <c r="AV30" s="1">
        <f>IF(B35="",0,1)*IF(I35="",0,1)*IF(P35="",0,1)</f>
        <v>1</v>
      </c>
    </row>
    <row r="31" spans="2:64" ht="12" customHeight="1" thickBot="1">
      <c r="B31" s="457">
        <v>0.8</v>
      </c>
      <c r="C31" s="458"/>
      <c r="D31" s="458"/>
      <c r="E31" s="458"/>
      <c r="F31" s="459">
        <v>3</v>
      </c>
      <c r="G31" s="458"/>
      <c r="H31" s="458"/>
      <c r="I31" s="458"/>
      <c r="J31" s="459">
        <v>2</v>
      </c>
      <c r="K31" s="458"/>
      <c r="L31" s="458"/>
      <c r="M31" s="458"/>
      <c r="N31" s="424">
        <v>0.35</v>
      </c>
      <c r="O31" s="425"/>
      <c r="P31" s="425"/>
      <c r="Q31" s="425"/>
      <c r="R31" s="443"/>
      <c r="S31" s="444"/>
      <c r="T31" s="444"/>
      <c r="U31" s="445"/>
      <c r="X31" s="26"/>
      <c r="Y31" s="199">
        <v>2</v>
      </c>
      <c r="Z31" s="200"/>
      <c r="AA31" s="200"/>
      <c r="AB31" s="200"/>
      <c r="AC31" s="196">
        <f>IF(Y31="","",IF($AV$30=0,"",ROUNDUP(LN(1-$P$35/100)/LN(1-Y31/100),0)))</f>
        <v>114</v>
      </c>
      <c r="AD31" s="197"/>
      <c r="AE31" s="197"/>
      <c r="AF31" s="197"/>
      <c r="AG31" s="421">
        <f>IF(Y31="","",IF($AV$30=0,"",ROUNDUP($X$22*((1/AC31)*LN(1-$P$35/100)/LN(1-$B$35/100))^(1/$I$35),0)))</f>
        <v>859</v>
      </c>
      <c r="AH31" s="422"/>
      <c r="AI31" s="422"/>
      <c r="AJ31" s="423"/>
      <c r="AK31" s="5"/>
      <c r="AL31" s="7"/>
      <c r="AM31" s="7"/>
      <c r="AN31" s="7"/>
      <c r="AO31" s="7"/>
      <c r="AP31" s="7"/>
      <c r="AQ31" s="7"/>
      <c r="AR31" s="7"/>
      <c r="AS31" s="7"/>
      <c r="AT31" s="27"/>
      <c r="BG31" s="1" t="s">
        <v>163</v>
      </c>
      <c r="BH31" s="1" t="e">
        <f>BL29</f>
        <v>#DIV/0!</v>
      </c>
      <c r="BL31" s="1" t="e">
        <f>BL29</f>
        <v>#DIV/0!</v>
      </c>
    </row>
    <row r="32" spans="2:64" ht="12" customHeight="1" thickBot="1">
      <c r="X32" s="26"/>
      <c r="Y32" s="199">
        <v>5</v>
      </c>
      <c r="Z32" s="200"/>
      <c r="AA32" s="200"/>
      <c r="AB32" s="200"/>
      <c r="AC32" s="196">
        <f t="shared" ref="AC32:AC34" si="18">IF(Y32="","",IF($AV$30=0,"",ROUNDUP(LN(1-$P$35/100)/LN(1-Y32/100),0)))</f>
        <v>45</v>
      </c>
      <c r="AD32" s="197"/>
      <c r="AE32" s="197"/>
      <c r="AF32" s="197"/>
      <c r="AG32" s="421">
        <f t="shared" ref="AG32:AG34" si="19">IF(Y32="","",IF($AV$30=0,"",ROUNDUP($X$22*((1/AC32)*LN(1-$P$35/100)/LN(1-$B$35/100))^(1/$I$35),0)))</f>
        <v>1083</v>
      </c>
      <c r="AH32" s="422"/>
      <c r="AI32" s="422"/>
      <c r="AJ32" s="423"/>
      <c r="AK32" s="5"/>
      <c r="AL32" s="186" t="s">
        <v>1</v>
      </c>
      <c r="AM32" s="391"/>
      <c r="AN32" s="391"/>
      <c r="AO32" s="392"/>
      <c r="AP32" s="192" t="s">
        <v>6</v>
      </c>
      <c r="AQ32" s="391"/>
      <c r="AR32" s="391"/>
      <c r="AS32" s="396"/>
      <c r="AT32" s="27"/>
      <c r="BH32" s="1" t="e">
        <f>BH31+10</f>
        <v>#DIV/0!</v>
      </c>
      <c r="BI32" s="1" t="e">
        <f t="shared" si="12"/>
        <v>#DIV/0!</v>
      </c>
      <c r="BJ32" s="1" t="e">
        <f t="shared" si="13"/>
        <v>#DIV/0!</v>
      </c>
      <c r="BK32" s="1" t="e">
        <f t="shared" si="14"/>
        <v>#DIV/0!</v>
      </c>
      <c r="BL32" s="1" t="e">
        <f t="shared" si="16"/>
        <v>#DIV/0!</v>
      </c>
    </row>
    <row r="33" spans="1:64" ht="12" customHeight="1" thickBot="1">
      <c r="B33" s="186" t="s">
        <v>103</v>
      </c>
      <c r="C33" s="187"/>
      <c r="D33" s="187"/>
      <c r="E33" s="187"/>
      <c r="F33" s="187"/>
      <c r="G33" s="187"/>
      <c r="H33" s="188"/>
      <c r="I33" s="192" t="s">
        <v>46</v>
      </c>
      <c r="J33" s="187"/>
      <c r="K33" s="187"/>
      <c r="L33" s="187"/>
      <c r="M33" s="187"/>
      <c r="N33" s="187"/>
      <c r="O33" s="188"/>
      <c r="P33" s="192" t="s">
        <v>19</v>
      </c>
      <c r="Q33" s="187"/>
      <c r="R33" s="187"/>
      <c r="S33" s="187"/>
      <c r="T33" s="187"/>
      <c r="U33" s="194"/>
      <c r="X33" s="26"/>
      <c r="Y33" s="199">
        <v>10</v>
      </c>
      <c r="Z33" s="200"/>
      <c r="AA33" s="200"/>
      <c r="AB33" s="200"/>
      <c r="AC33" s="196">
        <f t="shared" si="18"/>
        <v>22</v>
      </c>
      <c r="AD33" s="197"/>
      <c r="AE33" s="197"/>
      <c r="AF33" s="197"/>
      <c r="AG33" s="421">
        <f t="shared" si="19"/>
        <v>1296</v>
      </c>
      <c r="AH33" s="422"/>
      <c r="AI33" s="422"/>
      <c r="AJ33" s="423"/>
      <c r="AK33" s="5"/>
      <c r="AL33" s="415"/>
      <c r="AM33" s="416"/>
      <c r="AN33" s="416"/>
      <c r="AO33" s="417"/>
      <c r="AP33" s="434"/>
      <c r="AQ33" s="416"/>
      <c r="AR33" s="416"/>
      <c r="AS33" s="435"/>
      <c r="AT33" s="27"/>
      <c r="BH33" s="1" t="e">
        <f t="shared" ref="BH33:BH40" si="20">BH32+10</f>
        <v>#DIV/0!</v>
      </c>
      <c r="BI33" s="1" t="e">
        <f t="shared" si="12"/>
        <v>#DIV/0!</v>
      </c>
      <c r="BJ33" s="1" t="e">
        <f t="shared" si="13"/>
        <v>#DIV/0!</v>
      </c>
      <c r="BK33" s="1" t="e">
        <f t="shared" si="14"/>
        <v>#DIV/0!</v>
      </c>
      <c r="BL33" s="1" t="e">
        <f t="shared" si="16"/>
        <v>#DIV/0!</v>
      </c>
    </row>
    <row r="34" spans="1:64" ht="12" customHeight="1" thickBot="1">
      <c r="B34" s="189"/>
      <c r="C34" s="190"/>
      <c r="D34" s="190"/>
      <c r="E34" s="190"/>
      <c r="F34" s="190"/>
      <c r="G34" s="190"/>
      <c r="H34" s="191"/>
      <c r="I34" s="193"/>
      <c r="J34" s="190"/>
      <c r="K34" s="190"/>
      <c r="L34" s="190"/>
      <c r="M34" s="190"/>
      <c r="N34" s="190"/>
      <c r="O34" s="191"/>
      <c r="P34" s="193"/>
      <c r="Q34" s="190"/>
      <c r="R34" s="190"/>
      <c r="S34" s="190"/>
      <c r="T34" s="190"/>
      <c r="U34" s="195"/>
      <c r="X34" s="26"/>
      <c r="Y34" s="201">
        <v>20</v>
      </c>
      <c r="Z34" s="202"/>
      <c r="AA34" s="202"/>
      <c r="AB34" s="202"/>
      <c r="AC34" s="203">
        <f t="shared" si="18"/>
        <v>11</v>
      </c>
      <c r="AD34" s="204"/>
      <c r="AE34" s="204"/>
      <c r="AF34" s="204"/>
      <c r="AG34" s="418">
        <f t="shared" si="19"/>
        <v>1541</v>
      </c>
      <c r="AH34" s="419"/>
      <c r="AI34" s="419"/>
      <c r="AJ34" s="420"/>
      <c r="AK34" s="7"/>
      <c r="AL34" s="157">
        <v>1083</v>
      </c>
      <c r="AM34" s="158"/>
      <c r="AN34" s="158"/>
      <c r="AO34" s="159"/>
      <c r="AP34" s="160">
        <f>IF(AL34="","",IF(AV30=0,"",ROUNDUP((($X$22/$AL$34)^$I$35)*(LN(1-$P$35/100)/LN(1-$B$35/100)),0)))</f>
        <v>45</v>
      </c>
      <c r="AQ34" s="161"/>
      <c r="AR34" s="161"/>
      <c r="AS34" s="162"/>
      <c r="AT34" s="27"/>
      <c r="BH34" s="1" t="e">
        <f t="shared" si="20"/>
        <v>#DIV/0!</v>
      </c>
      <c r="BI34" s="1" t="e">
        <f t="shared" si="12"/>
        <v>#DIV/0!</v>
      </c>
      <c r="BJ34" s="1" t="e">
        <f t="shared" si="13"/>
        <v>#DIV/0!</v>
      </c>
      <c r="BK34" s="1" t="e">
        <f t="shared" si="14"/>
        <v>#DIV/0!</v>
      </c>
      <c r="BL34" s="1" t="e">
        <f t="shared" si="16"/>
        <v>#DIV/0!</v>
      </c>
    </row>
    <row r="35" spans="1:64" ht="12" customHeight="1" thickBot="1">
      <c r="B35" s="157">
        <v>0.1</v>
      </c>
      <c r="C35" s="452"/>
      <c r="D35" s="452"/>
      <c r="E35" s="452"/>
      <c r="F35" s="452"/>
      <c r="G35" s="452"/>
      <c r="H35" s="453"/>
      <c r="I35" s="454">
        <v>4</v>
      </c>
      <c r="J35" s="452"/>
      <c r="K35" s="452"/>
      <c r="L35" s="452"/>
      <c r="M35" s="452"/>
      <c r="N35" s="452"/>
      <c r="O35" s="453"/>
      <c r="P35" s="454">
        <v>90</v>
      </c>
      <c r="Q35" s="452"/>
      <c r="R35" s="452"/>
      <c r="S35" s="452"/>
      <c r="T35" s="452"/>
      <c r="U35" s="455"/>
      <c r="X35" s="28"/>
      <c r="Y35" s="29"/>
      <c r="Z35" s="29"/>
      <c r="AA35" s="29"/>
      <c r="AB35" s="29"/>
      <c r="AC35" s="29"/>
      <c r="AD35" s="29"/>
      <c r="AE35" s="29"/>
      <c r="AF35" s="29"/>
      <c r="AG35" s="29"/>
      <c r="AH35" s="29"/>
      <c r="AI35" s="29"/>
      <c r="AJ35" s="29"/>
      <c r="AK35" s="29"/>
      <c r="AL35" s="29"/>
      <c r="AM35" s="29"/>
      <c r="AN35" s="29"/>
      <c r="AO35" s="29"/>
      <c r="AP35" s="29"/>
      <c r="AQ35" s="29"/>
      <c r="AR35" s="29"/>
      <c r="AS35" s="29"/>
      <c r="AT35" s="30"/>
      <c r="BH35" s="1" t="e">
        <f t="shared" si="20"/>
        <v>#DIV/0!</v>
      </c>
      <c r="BI35" s="1" t="e">
        <f t="shared" si="12"/>
        <v>#DIV/0!</v>
      </c>
      <c r="BJ35" s="1" t="e">
        <f t="shared" si="13"/>
        <v>#DIV/0!</v>
      </c>
      <c r="BK35" s="1" t="e">
        <f t="shared" si="14"/>
        <v>#DIV/0!</v>
      </c>
      <c r="BL35" s="1" t="e">
        <f t="shared" si="16"/>
        <v>#DIV/0!</v>
      </c>
    </row>
    <row r="36" spans="1:64" s="76" customFormat="1" ht="15" customHeight="1">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BH36" s="1" t="e">
        <f t="shared" si="20"/>
        <v>#DIV/0!</v>
      </c>
      <c r="BI36" s="1" t="e">
        <f t="shared" si="12"/>
        <v>#DIV/0!</v>
      </c>
      <c r="BJ36" s="1" t="e">
        <f t="shared" si="13"/>
        <v>#DIV/0!</v>
      </c>
      <c r="BK36" s="1" t="e">
        <f t="shared" si="14"/>
        <v>#DIV/0!</v>
      </c>
      <c r="BL36" s="1" t="e">
        <f t="shared" si="16"/>
        <v>#DIV/0!</v>
      </c>
    </row>
    <row r="37" spans="1:64" s="76" customFormat="1" ht="15" hidden="1" customHeight="1">
      <c r="A37" s="66"/>
      <c r="B37" s="62" t="s">
        <v>106</v>
      </c>
      <c r="C37" s="59"/>
      <c r="D37" s="59"/>
      <c r="E37" s="59"/>
      <c r="F37" s="59"/>
      <c r="G37" s="59"/>
      <c r="H37" s="59"/>
      <c r="I37" s="59"/>
      <c r="J37" s="59"/>
      <c r="K37" s="59"/>
      <c r="L37" s="59"/>
      <c r="M37" s="59"/>
      <c r="N37" s="59"/>
      <c r="O37" s="59"/>
      <c r="P37" s="59"/>
      <c r="Q37" s="59">
        <f>IF(CODE(B29)=49,1,0)</f>
        <v>0</v>
      </c>
      <c r="R37" s="59"/>
      <c r="S37" s="59"/>
      <c r="T37" s="59">
        <f>IF(F31="",0,1)*IF(N31="",0,1)*IF(B31="",0,1)*IF(Q22="",0,1)*IF(L26="",0,1)</f>
        <v>1</v>
      </c>
      <c r="U37" s="59">
        <f>Q37*T37</f>
        <v>0</v>
      </c>
      <c r="V37" s="59"/>
      <c r="W37" s="59"/>
      <c r="X37" s="63" t="s">
        <v>7</v>
      </c>
      <c r="Y37" s="64">
        <v>0.8</v>
      </c>
      <c r="Z37" s="64">
        <v>0.5</v>
      </c>
      <c r="AA37" s="64">
        <v>1.5</v>
      </c>
      <c r="AB37" s="65"/>
      <c r="AC37" s="65"/>
      <c r="AD37" s="65"/>
      <c r="AE37" s="59">
        <f ca="1">'Top sheet'!D34</f>
        <v>1</v>
      </c>
      <c r="AF37" s="66"/>
      <c r="AG37" s="66"/>
      <c r="AH37" s="66"/>
      <c r="AI37" s="66"/>
      <c r="AJ37" s="66"/>
      <c r="BH37" s="1" t="e">
        <f t="shared" si="20"/>
        <v>#DIV/0!</v>
      </c>
      <c r="BI37" s="1" t="e">
        <f t="shared" si="12"/>
        <v>#DIV/0!</v>
      </c>
      <c r="BJ37" s="1" t="e">
        <f t="shared" si="13"/>
        <v>#DIV/0!</v>
      </c>
      <c r="BK37" s="1" t="e">
        <f t="shared" si="14"/>
        <v>#DIV/0!</v>
      </c>
      <c r="BL37" s="1" t="e">
        <f t="shared" si="16"/>
        <v>#DIV/0!</v>
      </c>
    </row>
    <row r="38" spans="1:64" s="76" customFormat="1" ht="15" hidden="1" customHeight="1">
      <c r="A38" s="66"/>
      <c r="B38" s="62" t="s">
        <v>107</v>
      </c>
      <c r="C38" s="59"/>
      <c r="D38" s="59"/>
      <c r="E38" s="59"/>
      <c r="F38" s="59"/>
      <c r="G38" s="59"/>
      <c r="H38" s="59"/>
      <c r="I38" s="59"/>
      <c r="J38" s="59"/>
      <c r="K38" s="59"/>
      <c r="L38" s="59"/>
      <c r="M38" s="59"/>
      <c r="N38" s="59"/>
      <c r="O38" s="59"/>
      <c r="P38" s="59"/>
      <c r="Q38" s="59">
        <f>IF(CODE(B29)=50,1,0)</f>
        <v>1</v>
      </c>
      <c r="R38" s="59"/>
      <c r="S38" s="59"/>
      <c r="T38" s="59">
        <f>IF(J31="",0,1)*IF(N31="",0,1)*IF(Q22="",0,1)*IF(L26="",0,1)</f>
        <v>1</v>
      </c>
      <c r="U38" s="59">
        <f>Q38*T38</f>
        <v>1</v>
      </c>
      <c r="V38" s="59"/>
      <c r="W38" s="59"/>
      <c r="X38" s="63" t="s">
        <v>40</v>
      </c>
      <c r="Y38" s="64">
        <v>3</v>
      </c>
      <c r="Z38" s="64">
        <v>1</v>
      </c>
      <c r="AA38" s="64">
        <v>8</v>
      </c>
      <c r="AB38" s="65"/>
      <c r="AC38" s="65"/>
      <c r="AD38" s="65"/>
      <c r="AE38" s="65"/>
      <c r="AF38" s="66"/>
      <c r="AG38" s="66"/>
      <c r="AH38" s="66"/>
      <c r="AI38" s="66"/>
      <c r="AJ38" s="66"/>
      <c r="BH38" s="1" t="e">
        <f t="shared" si="20"/>
        <v>#DIV/0!</v>
      </c>
      <c r="BI38" s="1" t="e">
        <f t="shared" si="12"/>
        <v>#DIV/0!</v>
      </c>
      <c r="BJ38" s="1" t="e">
        <f t="shared" si="13"/>
        <v>#DIV/0!</v>
      </c>
      <c r="BK38" s="1" t="e">
        <f t="shared" si="14"/>
        <v>#DIV/0!</v>
      </c>
      <c r="BL38" s="1" t="e">
        <f t="shared" si="16"/>
        <v>#DIV/0!</v>
      </c>
    </row>
    <row r="39" spans="1:64" s="76" customFormat="1" ht="15" hidden="1" customHeight="1">
      <c r="A39" s="66"/>
      <c r="B39" s="62"/>
      <c r="C39" s="59"/>
      <c r="D39" s="59"/>
      <c r="E39" s="59"/>
      <c r="F39" s="59"/>
      <c r="G39" s="59"/>
      <c r="H39" s="59"/>
      <c r="I39" s="59"/>
      <c r="J39" s="59"/>
      <c r="K39" s="59"/>
      <c r="L39" s="59"/>
      <c r="M39" s="59"/>
      <c r="N39" s="59"/>
      <c r="O39" s="59"/>
      <c r="P39" s="59"/>
      <c r="Q39" s="59"/>
      <c r="R39" s="59"/>
      <c r="S39" s="59"/>
      <c r="T39" s="59"/>
      <c r="U39" s="59">
        <f>U37+U38</f>
        <v>1</v>
      </c>
      <c r="V39" s="59"/>
      <c r="W39" s="59"/>
      <c r="X39" s="63" t="s">
        <v>41</v>
      </c>
      <c r="Y39" s="64">
        <v>2</v>
      </c>
      <c r="Z39" s="64">
        <v>1</v>
      </c>
      <c r="AA39" s="64">
        <v>6</v>
      </c>
      <c r="AB39" s="65"/>
      <c r="AC39" s="65"/>
      <c r="AD39" s="65"/>
      <c r="AE39" s="65"/>
      <c r="AF39" s="66"/>
      <c r="AG39" s="66"/>
      <c r="AH39" s="66"/>
      <c r="AI39" s="66"/>
      <c r="AJ39" s="66"/>
      <c r="BH39" s="1" t="e">
        <f t="shared" si="20"/>
        <v>#DIV/0!</v>
      </c>
      <c r="BI39" s="1" t="e">
        <f t="shared" si="12"/>
        <v>#DIV/0!</v>
      </c>
      <c r="BJ39" s="1" t="e">
        <f t="shared" si="13"/>
        <v>#DIV/0!</v>
      </c>
      <c r="BK39" s="1" t="e">
        <f t="shared" si="14"/>
        <v>#DIV/0!</v>
      </c>
      <c r="BL39" s="1" t="e">
        <f t="shared" si="16"/>
        <v>#DIV/0!</v>
      </c>
    </row>
    <row r="40" spans="1:64" s="76" customFormat="1" ht="15" hidden="1" customHeight="1">
      <c r="A40" s="66"/>
      <c r="B40" s="59"/>
      <c r="C40" s="59"/>
      <c r="D40" s="59"/>
      <c r="E40" s="59"/>
      <c r="F40" s="59"/>
      <c r="G40" s="59"/>
      <c r="H40" s="59"/>
      <c r="I40" s="59"/>
      <c r="J40" s="59"/>
      <c r="K40" s="59"/>
      <c r="L40" s="59"/>
      <c r="M40" s="59"/>
      <c r="N40" s="59"/>
      <c r="O40" s="59"/>
      <c r="P40" s="59"/>
      <c r="Q40" s="59"/>
      <c r="R40" s="59"/>
      <c r="S40" s="59"/>
      <c r="T40" s="59"/>
      <c r="U40" s="59"/>
      <c r="V40" s="59"/>
      <c r="W40" s="59"/>
      <c r="X40" s="59"/>
      <c r="Y40" s="64"/>
      <c r="Z40" s="64"/>
      <c r="AA40" s="64"/>
      <c r="AB40" s="65"/>
      <c r="AC40" s="65"/>
      <c r="AD40" s="65"/>
      <c r="AE40" s="65"/>
      <c r="AF40" s="66"/>
      <c r="AG40" s="66"/>
      <c r="AH40" s="66"/>
      <c r="AI40" s="66"/>
      <c r="AJ40" s="66"/>
      <c r="BH40" s="1" t="e">
        <f t="shared" si="20"/>
        <v>#DIV/0!</v>
      </c>
      <c r="BI40" s="1" t="e">
        <f t="shared" si="12"/>
        <v>#DIV/0!</v>
      </c>
      <c r="BJ40" s="1" t="e">
        <f t="shared" si="13"/>
        <v>#DIV/0!</v>
      </c>
      <c r="BK40" s="1" t="e">
        <f t="shared" si="14"/>
        <v>#DIV/0!</v>
      </c>
      <c r="BL40" s="1" t="e">
        <f t="shared" si="16"/>
        <v>#DIV/0!</v>
      </c>
    </row>
    <row r="41" spans="1:64" s="76" customFormat="1" ht="15" hidden="1" customHeight="1">
      <c r="A41" s="66"/>
      <c r="B41" s="59" t="s">
        <v>101</v>
      </c>
      <c r="C41" s="59"/>
      <c r="D41" s="59"/>
      <c r="E41" s="59"/>
      <c r="F41" s="59"/>
      <c r="G41" s="59"/>
      <c r="H41" s="59"/>
      <c r="I41" s="59"/>
      <c r="J41" s="59"/>
      <c r="K41" s="59"/>
      <c r="L41" s="59"/>
      <c r="M41" s="59"/>
      <c r="N41" s="59"/>
      <c r="O41" s="59"/>
      <c r="P41" s="59"/>
      <c r="Q41" s="59">
        <f>IF(CODE(K19)=49,1,0)</f>
        <v>0</v>
      </c>
      <c r="R41" s="59"/>
      <c r="S41" s="59"/>
      <c r="T41" s="59"/>
      <c r="U41" s="59"/>
      <c r="V41" s="59"/>
      <c r="W41" s="59"/>
      <c r="X41" s="67" t="s">
        <v>43</v>
      </c>
      <c r="Y41" s="68">
        <v>0.35</v>
      </c>
      <c r="Z41" s="63">
        <v>0.1</v>
      </c>
      <c r="AA41" s="63">
        <v>1</v>
      </c>
      <c r="AB41" s="65"/>
      <c r="AC41" s="65"/>
      <c r="AD41" s="65"/>
      <c r="AE41" s="65"/>
      <c r="AF41" s="66"/>
      <c r="AG41" s="66"/>
      <c r="AH41" s="66"/>
      <c r="AI41" s="66"/>
      <c r="AJ41" s="66"/>
      <c r="BI41" s="1"/>
      <c r="BJ41" s="1"/>
      <c r="BK41" s="1"/>
      <c r="BL41" s="1"/>
    </row>
    <row r="42" spans="1:64" s="76" customFormat="1" ht="15" hidden="1" customHeight="1">
      <c r="A42" s="66"/>
      <c r="B42" s="59" t="s">
        <v>102</v>
      </c>
      <c r="C42" s="59"/>
      <c r="D42" s="59"/>
      <c r="E42" s="59"/>
      <c r="F42" s="59"/>
      <c r="G42" s="59"/>
      <c r="H42" s="59"/>
      <c r="I42" s="59"/>
      <c r="J42" s="59"/>
      <c r="K42" s="59"/>
      <c r="L42" s="59"/>
      <c r="M42" s="59"/>
      <c r="N42" s="59"/>
      <c r="O42" s="59"/>
      <c r="P42" s="59"/>
      <c r="Q42" s="59">
        <f>IF(CODE(K19)=50,1,0)</f>
        <v>0</v>
      </c>
      <c r="R42" s="59"/>
      <c r="S42" s="59"/>
      <c r="T42" s="59"/>
      <c r="U42" s="59"/>
      <c r="V42" s="59"/>
      <c r="W42" s="59"/>
      <c r="X42" s="67" t="s">
        <v>44</v>
      </c>
      <c r="Y42" s="64">
        <v>4</v>
      </c>
      <c r="Z42" s="64">
        <v>2</v>
      </c>
      <c r="AA42" s="64">
        <v>10</v>
      </c>
      <c r="AB42" s="59"/>
      <c r="AC42" s="59"/>
      <c r="AD42" s="59"/>
      <c r="AE42" s="59"/>
      <c r="AF42" s="66"/>
      <c r="AG42" s="66"/>
      <c r="AH42" s="66"/>
      <c r="AI42" s="66"/>
      <c r="AJ42" s="66"/>
      <c r="BG42" s="76" t="s">
        <v>164</v>
      </c>
      <c r="BH42" s="76" t="e">
        <f>BL40</f>
        <v>#DIV/0!</v>
      </c>
      <c r="BI42" s="1"/>
      <c r="BJ42" s="1"/>
      <c r="BK42" s="1"/>
      <c r="BL42" s="1" t="e">
        <f>BL40</f>
        <v>#DIV/0!</v>
      </c>
    </row>
    <row r="43" spans="1:64" ht="15" hidden="1" customHeight="1">
      <c r="A43" s="32"/>
      <c r="B43" s="59" t="s">
        <v>100</v>
      </c>
      <c r="C43" s="66"/>
      <c r="D43" s="66"/>
      <c r="E43" s="66"/>
      <c r="F43" s="66"/>
      <c r="G43" s="66"/>
      <c r="H43" s="66"/>
      <c r="I43" s="66"/>
      <c r="J43" s="66"/>
      <c r="K43" s="66"/>
      <c r="L43" s="66"/>
      <c r="M43" s="66"/>
      <c r="N43" s="66"/>
      <c r="O43" s="66"/>
      <c r="P43" s="66"/>
      <c r="Q43" s="59">
        <f>IF(CODE(K19)=51,1,0)</f>
        <v>1</v>
      </c>
      <c r="R43" s="66"/>
      <c r="S43" s="66"/>
      <c r="T43" s="66"/>
      <c r="U43" s="66"/>
      <c r="V43" s="66"/>
      <c r="W43" s="66"/>
      <c r="X43" s="66"/>
      <c r="Y43" s="66"/>
      <c r="Z43" s="66"/>
      <c r="AA43" s="66"/>
      <c r="AB43" s="66"/>
      <c r="AC43" s="66"/>
      <c r="AD43" s="66"/>
      <c r="AE43" s="66"/>
      <c r="AF43" s="66"/>
      <c r="AG43" s="32"/>
      <c r="AH43" s="32"/>
      <c r="AI43" s="32"/>
      <c r="AJ43" s="32"/>
      <c r="BH43" s="1" t="e">
        <f>BH42+1</f>
        <v>#DIV/0!</v>
      </c>
      <c r="BI43" s="1" t="e">
        <f t="shared" si="12"/>
        <v>#DIV/0!</v>
      </c>
      <c r="BJ43" s="1" t="e">
        <f t="shared" si="13"/>
        <v>#DIV/0!</v>
      </c>
      <c r="BK43" s="1" t="e">
        <f t="shared" si="14"/>
        <v>#DIV/0!</v>
      </c>
      <c r="BL43" s="1" t="e">
        <f t="shared" si="16"/>
        <v>#DIV/0!</v>
      </c>
    </row>
    <row r="44" spans="1:64" ht="15" customHeight="1">
      <c r="BH44" s="1" t="e">
        <f t="shared" ref="BH44:BH51" si="21">BH43+1</f>
        <v>#DIV/0!</v>
      </c>
      <c r="BI44" s="1" t="e">
        <f t="shared" si="12"/>
        <v>#DIV/0!</v>
      </c>
      <c r="BJ44" s="1" t="e">
        <f t="shared" si="13"/>
        <v>#DIV/0!</v>
      </c>
      <c r="BK44" s="1" t="e">
        <f t="shared" si="14"/>
        <v>#DIV/0!</v>
      </c>
      <c r="BL44" s="1" t="e">
        <f t="shared" si="16"/>
        <v>#DIV/0!</v>
      </c>
    </row>
    <row r="45" spans="1:64" ht="15" customHeight="1">
      <c r="BH45" s="1" t="e">
        <f t="shared" si="21"/>
        <v>#DIV/0!</v>
      </c>
      <c r="BI45" s="1" t="e">
        <f t="shared" si="12"/>
        <v>#DIV/0!</v>
      </c>
      <c r="BJ45" s="1" t="e">
        <f t="shared" si="13"/>
        <v>#DIV/0!</v>
      </c>
      <c r="BK45" s="1" t="e">
        <f t="shared" si="14"/>
        <v>#DIV/0!</v>
      </c>
      <c r="BL45" s="1" t="e">
        <f t="shared" si="16"/>
        <v>#DIV/0!</v>
      </c>
    </row>
    <row r="46" spans="1:64" ht="15" customHeight="1">
      <c r="BH46" s="1" t="e">
        <f t="shared" si="21"/>
        <v>#DIV/0!</v>
      </c>
      <c r="BI46" s="1" t="e">
        <f t="shared" si="12"/>
        <v>#DIV/0!</v>
      </c>
      <c r="BJ46" s="1" t="e">
        <f t="shared" si="13"/>
        <v>#DIV/0!</v>
      </c>
      <c r="BK46" s="1" t="e">
        <f t="shared" si="14"/>
        <v>#DIV/0!</v>
      </c>
      <c r="BL46" s="1" t="e">
        <f t="shared" si="16"/>
        <v>#DIV/0!</v>
      </c>
    </row>
    <row r="47" spans="1:64" ht="15" customHeight="1">
      <c r="BH47" s="1" t="e">
        <f t="shared" si="21"/>
        <v>#DIV/0!</v>
      </c>
      <c r="BI47" s="1" t="e">
        <f t="shared" si="12"/>
        <v>#DIV/0!</v>
      </c>
      <c r="BJ47" s="1" t="e">
        <f t="shared" si="13"/>
        <v>#DIV/0!</v>
      </c>
      <c r="BK47" s="1" t="e">
        <f t="shared" si="14"/>
        <v>#DIV/0!</v>
      </c>
      <c r="BL47" s="1" t="e">
        <f t="shared" si="16"/>
        <v>#DIV/0!</v>
      </c>
    </row>
    <row r="48" spans="1:64" ht="15" customHeight="1">
      <c r="BH48" s="1" t="e">
        <f t="shared" si="21"/>
        <v>#DIV/0!</v>
      </c>
      <c r="BI48" s="1" t="e">
        <f t="shared" si="12"/>
        <v>#DIV/0!</v>
      </c>
      <c r="BJ48" s="1" t="e">
        <f t="shared" si="13"/>
        <v>#DIV/0!</v>
      </c>
      <c r="BK48" s="1" t="e">
        <f t="shared" si="14"/>
        <v>#DIV/0!</v>
      </c>
      <c r="BL48" s="1" t="e">
        <f t="shared" si="16"/>
        <v>#DIV/0!</v>
      </c>
    </row>
    <row r="49" spans="59:64" ht="15" customHeight="1">
      <c r="BH49" s="1" t="e">
        <f t="shared" si="21"/>
        <v>#DIV/0!</v>
      </c>
      <c r="BI49" s="1" t="e">
        <f t="shared" si="12"/>
        <v>#DIV/0!</v>
      </c>
      <c r="BJ49" s="1" t="e">
        <f t="shared" si="13"/>
        <v>#DIV/0!</v>
      </c>
      <c r="BK49" s="1" t="e">
        <f t="shared" si="14"/>
        <v>#DIV/0!</v>
      </c>
      <c r="BL49" s="1" t="e">
        <f t="shared" si="16"/>
        <v>#DIV/0!</v>
      </c>
    </row>
    <row r="50" spans="59:64" ht="15" customHeight="1">
      <c r="BH50" s="1" t="e">
        <f t="shared" si="21"/>
        <v>#DIV/0!</v>
      </c>
      <c r="BI50" s="1" t="e">
        <f t="shared" si="12"/>
        <v>#DIV/0!</v>
      </c>
      <c r="BJ50" s="1" t="e">
        <f t="shared" si="13"/>
        <v>#DIV/0!</v>
      </c>
      <c r="BK50" s="1" t="e">
        <f t="shared" si="14"/>
        <v>#DIV/0!</v>
      </c>
      <c r="BL50" s="1" t="e">
        <f t="shared" si="16"/>
        <v>#DIV/0!</v>
      </c>
    </row>
    <row r="51" spans="59:64" ht="15" customHeight="1">
      <c r="BH51" s="1" t="e">
        <f t="shared" si="21"/>
        <v>#DIV/0!</v>
      </c>
      <c r="BI51" s="1" t="e">
        <f t="shared" si="12"/>
        <v>#DIV/0!</v>
      </c>
      <c r="BJ51" s="1" t="e">
        <f t="shared" si="13"/>
        <v>#DIV/0!</v>
      </c>
      <c r="BK51" s="1" t="e">
        <f t="shared" si="14"/>
        <v>#DIV/0!</v>
      </c>
      <c r="BL51" s="1" t="e">
        <f t="shared" si="16"/>
        <v>#DIV/0!</v>
      </c>
    </row>
    <row r="52" spans="59:64" ht="15" customHeight="1"/>
    <row r="53" spans="59:64" ht="15" customHeight="1">
      <c r="BG53" s="1" t="s">
        <v>160</v>
      </c>
      <c r="BH53" s="1" t="e">
        <f>BL51</f>
        <v>#DIV/0!</v>
      </c>
      <c r="BL53" s="1" t="e">
        <f>BL51</f>
        <v>#DIV/0!</v>
      </c>
    </row>
    <row r="54" spans="59:64" ht="15" customHeight="1">
      <c r="BH54" s="1" t="e">
        <f>BH53+0.1</f>
        <v>#DIV/0!</v>
      </c>
      <c r="BI54" s="1" t="e">
        <f t="shared" si="12"/>
        <v>#DIV/0!</v>
      </c>
      <c r="BJ54" s="1" t="e">
        <f t="shared" si="13"/>
        <v>#DIV/0!</v>
      </c>
      <c r="BK54" s="1" t="e">
        <f t="shared" si="14"/>
        <v>#DIV/0!</v>
      </c>
      <c r="BL54" s="1" t="e">
        <f t="shared" si="16"/>
        <v>#DIV/0!</v>
      </c>
    </row>
    <row r="55" spans="59:64" ht="15" customHeight="1">
      <c r="BH55" s="1" t="e">
        <f t="shared" ref="BH55:BH62" si="22">BH54+0.1</f>
        <v>#DIV/0!</v>
      </c>
      <c r="BI55" s="1" t="e">
        <f t="shared" si="12"/>
        <v>#DIV/0!</v>
      </c>
      <c r="BJ55" s="1" t="e">
        <f t="shared" si="13"/>
        <v>#DIV/0!</v>
      </c>
      <c r="BK55" s="1" t="e">
        <f t="shared" si="14"/>
        <v>#DIV/0!</v>
      </c>
      <c r="BL55" s="1" t="e">
        <f t="shared" si="16"/>
        <v>#DIV/0!</v>
      </c>
    </row>
    <row r="56" spans="59:64" ht="15" customHeight="1">
      <c r="BH56" s="1" t="e">
        <f t="shared" si="22"/>
        <v>#DIV/0!</v>
      </c>
      <c r="BI56" s="1" t="e">
        <f t="shared" si="12"/>
        <v>#DIV/0!</v>
      </c>
      <c r="BJ56" s="1" t="e">
        <f t="shared" si="13"/>
        <v>#DIV/0!</v>
      </c>
      <c r="BK56" s="1" t="e">
        <f t="shared" si="14"/>
        <v>#DIV/0!</v>
      </c>
      <c r="BL56" s="1" t="e">
        <f t="shared" si="16"/>
        <v>#DIV/0!</v>
      </c>
    </row>
    <row r="57" spans="59:64" ht="15" customHeight="1">
      <c r="BH57" s="1" t="e">
        <f t="shared" si="22"/>
        <v>#DIV/0!</v>
      </c>
      <c r="BI57" s="1" t="e">
        <f t="shared" si="12"/>
        <v>#DIV/0!</v>
      </c>
      <c r="BJ57" s="1" t="e">
        <f t="shared" si="13"/>
        <v>#DIV/0!</v>
      </c>
      <c r="BK57" s="1" t="e">
        <f t="shared" si="14"/>
        <v>#DIV/0!</v>
      </c>
      <c r="BL57" s="1" t="e">
        <f t="shared" si="16"/>
        <v>#DIV/0!</v>
      </c>
    </row>
    <row r="58" spans="59:64" ht="15" customHeight="1">
      <c r="BH58" s="1" t="e">
        <f t="shared" si="22"/>
        <v>#DIV/0!</v>
      </c>
      <c r="BI58" s="1" t="e">
        <f t="shared" si="12"/>
        <v>#DIV/0!</v>
      </c>
      <c r="BJ58" s="1" t="e">
        <f t="shared" si="13"/>
        <v>#DIV/0!</v>
      </c>
      <c r="BK58" s="1" t="e">
        <f t="shared" si="14"/>
        <v>#DIV/0!</v>
      </c>
      <c r="BL58" s="1" t="e">
        <f t="shared" si="16"/>
        <v>#DIV/0!</v>
      </c>
    </row>
    <row r="59" spans="59:64" ht="15" customHeight="1">
      <c r="BH59" s="1" t="e">
        <f t="shared" si="22"/>
        <v>#DIV/0!</v>
      </c>
      <c r="BI59" s="1" t="e">
        <f t="shared" si="12"/>
        <v>#DIV/0!</v>
      </c>
      <c r="BJ59" s="1" t="e">
        <f t="shared" si="13"/>
        <v>#DIV/0!</v>
      </c>
      <c r="BK59" s="1" t="e">
        <f t="shared" si="14"/>
        <v>#DIV/0!</v>
      </c>
      <c r="BL59" s="1" t="e">
        <f t="shared" si="16"/>
        <v>#DIV/0!</v>
      </c>
    </row>
    <row r="60" spans="59:64" ht="15" customHeight="1">
      <c r="BH60" s="1" t="e">
        <f t="shared" si="22"/>
        <v>#DIV/0!</v>
      </c>
      <c r="BI60" s="1" t="e">
        <f t="shared" si="12"/>
        <v>#DIV/0!</v>
      </c>
      <c r="BJ60" s="1" t="e">
        <f t="shared" si="13"/>
        <v>#DIV/0!</v>
      </c>
      <c r="BK60" s="1" t="e">
        <f t="shared" si="14"/>
        <v>#DIV/0!</v>
      </c>
      <c r="BL60" s="1" t="e">
        <f t="shared" si="16"/>
        <v>#DIV/0!</v>
      </c>
    </row>
    <row r="61" spans="59:64" ht="15" customHeight="1">
      <c r="BH61" s="1" t="e">
        <f t="shared" si="22"/>
        <v>#DIV/0!</v>
      </c>
      <c r="BI61" s="1" t="e">
        <f t="shared" si="12"/>
        <v>#DIV/0!</v>
      </c>
      <c r="BJ61" s="1" t="e">
        <f t="shared" si="13"/>
        <v>#DIV/0!</v>
      </c>
      <c r="BK61" s="1" t="e">
        <f t="shared" si="14"/>
        <v>#DIV/0!</v>
      </c>
      <c r="BL61" s="1" t="e">
        <f t="shared" si="16"/>
        <v>#DIV/0!</v>
      </c>
    </row>
    <row r="62" spans="59:64">
      <c r="BH62" s="1" t="e">
        <f t="shared" si="22"/>
        <v>#DIV/0!</v>
      </c>
      <c r="BI62" s="1" t="e">
        <f t="shared" si="12"/>
        <v>#DIV/0!</v>
      </c>
      <c r="BJ62" s="1" t="e">
        <f t="shared" si="13"/>
        <v>#DIV/0!</v>
      </c>
      <c r="BK62" s="1" t="e">
        <f t="shared" si="14"/>
        <v>#DIV/0!</v>
      </c>
      <c r="BL62" s="1" t="e">
        <f t="shared" si="16"/>
        <v>#DIV/0!</v>
      </c>
    </row>
    <row r="64" spans="59:64">
      <c r="BG64" s="1" t="s">
        <v>165</v>
      </c>
      <c r="BH64" s="1" t="e">
        <f>BL62</f>
        <v>#DIV/0!</v>
      </c>
      <c r="BL64" s="1" t="e">
        <f>BL62</f>
        <v>#DIV/0!</v>
      </c>
    </row>
    <row r="65" spans="60:64">
      <c r="BH65" s="1" t="e">
        <f>BH64+0.01</f>
        <v>#DIV/0!</v>
      </c>
      <c r="BI65" s="1" t="e">
        <f t="shared" si="12"/>
        <v>#DIV/0!</v>
      </c>
      <c r="BJ65" s="1" t="e">
        <f t="shared" si="13"/>
        <v>#DIV/0!</v>
      </c>
      <c r="BK65" s="1" t="e">
        <f t="shared" si="14"/>
        <v>#DIV/0!</v>
      </c>
      <c r="BL65" s="1" t="e">
        <f t="shared" si="16"/>
        <v>#DIV/0!</v>
      </c>
    </row>
    <row r="66" spans="60:64">
      <c r="BH66" s="1" t="e">
        <f t="shared" ref="BH66:BH74" si="23">BH65+0.01</f>
        <v>#DIV/0!</v>
      </c>
      <c r="BI66" s="1" t="e">
        <f t="shared" si="12"/>
        <v>#DIV/0!</v>
      </c>
      <c r="BJ66" s="1" t="e">
        <f t="shared" si="13"/>
        <v>#DIV/0!</v>
      </c>
      <c r="BK66" s="1" t="e">
        <f t="shared" si="14"/>
        <v>#DIV/0!</v>
      </c>
      <c r="BL66" s="1" t="e">
        <f t="shared" si="16"/>
        <v>#DIV/0!</v>
      </c>
    </row>
    <row r="67" spans="60:64">
      <c r="BH67" s="1" t="e">
        <f t="shared" si="23"/>
        <v>#DIV/0!</v>
      </c>
      <c r="BI67" s="1" t="e">
        <f t="shared" si="12"/>
        <v>#DIV/0!</v>
      </c>
      <c r="BJ67" s="1" t="e">
        <f t="shared" si="13"/>
        <v>#DIV/0!</v>
      </c>
      <c r="BK67" s="1" t="e">
        <f t="shared" si="14"/>
        <v>#DIV/0!</v>
      </c>
      <c r="BL67" s="1" t="e">
        <f t="shared" si="16"/>
        <v>#DIV/0!</v>
      </c>
    </row>
    <row r="68" spans="60:64">
      <c r="BH68" s="1" t="e">
        <f t="shared" si="23"/>
        <v>#DIV/0!</v>
      </c>
      <c r="BI68" s="1" t="e">
        <f t="shared" si="12"/>
        <v>#DIV/0!</v>
      </c>
      <c r="BJ68" s="1" t="e">
        <f t="shared" si="13"/>
        <v>#DIV/0!</v>
      </c>
      <c r="BK68" s="1" t="e">
        <f t="shared" si="14"/>
        <v>#DIV/0!</v>
      </c>
      <c r="BL68" s="1" t="e">
        <f t="shared" si="16"/>
        <v>#DIV/0!</v>
      </c>
    </row>
    <row r="69" spans="60:64">
      <c r="BH69" s="1" t="e">
        <f t="shared" si="23"/>
        <v>#DIV/0!</v>
      </c>
      <c r="BI69" s="1" t="e">
        <f t="shared" si="12"/>
        <v>#DIV/0!</v>
      </c>
      <c r="BJ69" s="1" t="e">
        <f t="shared" si="13"/>
        <v>#DIV/0!</v>
      </c>
      <c r="BK69" s="1" t="e">
        <f t="shared" si="14"/>
        <v>#DIV/0!</v>
      </c>
      <c r="BL69" s="1" t="e">
        <f t="shared" si="16"/>
        <v>#DIV/0!</v>
      </c>
    </row>
    <row r="70" spans="60:64">
      <c r="BH70" s="1" t="e">
        <f t="shared" si="23"/>
        <v>#DIV/0!</v>
      </c>
      <c r="BI70" s="1" t="e">
        <f t="shared" si="12"/>
        <v>#DIV/0!</v>
      </c>
      <c r="BJ70" s="1" t="e">
        <f t="shared" si="13"/>
        <v>#DIV/0!</v>
      </c>
      <c r="BK70" s="1" t="e">
        <f t="shared" si="14"/>
        <v>#DIV/0!</v>
      </c>
      <c r="BL70" s="1" t="e">
        <f t="shared" si="16"/>
        <v>#DIV/0!</v>
      </c>
    </row>
    <row r="71" spans="60:64">
      <c r="BH71" s="1" t="e">
        <f t="shared" si="23"/>
        <v>#DIV/0!</v>
      </c>
      <c r="BI71" s="1" t="e">
        <f t="shared" si="12"/>
        <v>#DIV/0!</v>
      </c>
      <c r="BJ71" s="1" t="e">
        <f t="shared" si="13"/>
        <v>#DIV/0!</v>
      </c>
      <c r="BK71" s="1" t="e">
        <f t="shared" si="14"/>
        <v>#DIV/0!</v>
      </c>
      <c r="BL71" s="1" t="e">
        <f t="shared" si="16"/>
        <v>#DIV/0!</v>
      </c>
    </row>
    <row r="72" spans="60:64">
      <c r="BH72" s="1" t="e">
        <f t="shared" si="23"/>
        <v>#DIV/0!</v>
      </c>
      <c r="BI72" s="1" t="e">
        <f t="shared" si="12"/>
        <v>#DIV/0!</v>
      </c>
      <c r="BJ72" s="1" t="e">
        <f t="shared" si="13"/>
        <v>#DIV/0!</v>
      </c>
      <c r="BK72" s="1" t="e">
        <f t="shared" si="14"/>
        <v>#DIV/0!</v>
      </c>
      <c r="BL72" s="1" t="e">
        <f t="shared" si="16"/>
        <v>#DIV/0!</v>
      </c>
    </row>
    <row r="73" spans="60:64">
      <c r="BH73" s="1" t="e">
        <f t="shared" si="23"/>
        <v>#DIV/0!</v>
      </c>
      <c r="BI73" s="1" t="e">
        <f>BH73*3600</f>
        <v>#DIV/0!</v>
      </c>
      <c r="BJ73" s="1" t="e">
        <f>EXP(-(9.8695877*$BH$5*BI73)/($BH$6^2))+(-0.33333)*EXP(-(9*9.8695877*$BH$5*BI73)/($BH$6^2))+0.2*EXP(-(25*9.8695877*$BH$5*BI73)/($BH$6^2))+(-0.14286)*EXP(-(49*9.8695877*$BH$5*BI73)/($BH$6^2))+0.111111*EXP(-(81*9.8695877*$BH$5*BI73)/($BH$6^2))+(-0.09091)*EXP(-(121*9.8695877*$BH$5*BI73)/($BH$6^2))+0.076923*EXP(-(169*9.8695877*$BH$5*BI73)/($BH$6^2))+(-0.06667)*EXP(-(225*9.8695877*$BH$5*BI73)/($BH$6^2))+0.058824*EXP(-(289*9.8695877*$BH$5*BI73)/($BH$6^2))</f>
        <v>#DIV/0!</v>
      </c>
      <c r="BK73" s="1" t="e">
        <f>1-(4/3.14159)*BJ73</f>
        <v>#DIV/0!</v>
      </c>
      <c r="BL73" s="1" t="e">
        <f t="shared" si="16"/>
        <v>#DIV/0!</v>
      </c>
    </row>
    <row r="74" spans="60:64">
      <c r="BH74" s="1" t="e">
        <f t="shared" si="23"/>
        <v>#DIV/0!</v>
      </c>
      <c r="BI74" s="1" t="e">
        <f>BH74*3600</f>
        <v>#DIV/0!</v>
      </c>
      <c r="BJ74" s="1" t="e">
        <f>EXP(-(9.8695877*$BH$5*BI74)/($BH$6^2))+(-0.33333)*EXP(-(9*9.8695877*$BH$5*BI74)/($BH$6^2))+0.2*EXP(-(25*9.8695877*$BH$5*BI74)/($BH$6^2))+(-0.14286)*EXP(-(49*9.8695877*$BH$5*BI74)/($BH$6^2))+0.111111*EXP(-(81*9.8695877*$BH$5*BI74)/($BH$6^2))+(-0.09091)*EXP(-(121*9.8695877*$BH$5*BI74)/($BH$6^2))+0.076923*EXP(-(169*9.8695877*$BH$5*BI74)/($BH$6^2))+(-0.06667)*EXP(-(225*9.8695877*$BH$5*BI74)/($BH$6^2))+0.058824*EXP(-(289*9.8695877*$BH$5*BI74)/($BH$6^2))</f>
        <v>#DIV/0!</v>
      </c>
      <c r="BK74" s="1" t="e">
        <f>1-(4/3.14159)*BJ74</f>
        <v>#DIV/0!</v>
      </c>
      <c r="BL74" s="1" t="e">
        <f t="shared" si="16"/>
        <v>#DIV/0!</v>
      </c>
    </row>
    <row r="76" spans="60:64">
      <c r="BK76" s="1" t="s">
        <v>166</v>
      </c>
      <c r="BL76" s="1" t="e">
        <f>ROUND(BL74+0.01,1)</f>
        <v>#DIV/0!</v>
      </c>
    </row>
  </sheetData>
  <sheetProtection algorithmName="SHA-512" hashValue="anKsOVM+FwEH60+o91PUKZML/yAiesQHEzs9/aQGHX2szGk9RVIZRC+MnwtPAOvNaZfZE+lVRB68OkXpflecpQ==" saltValue="uMKY8ciw36gzZRJkZtveWg==" spinCount="100000" sheet="1" selectLockedCells="1"/>
  <mergeCells count="176">
    <mergeCell ref="AP12:AT12"/>
    <mergeCell ref="L17:O17"/>
    <mergeCell ref="X12:AD12"/>
    <mergeCell ref="T14:W14"/>
    <mergeCell ref="X14:AD14"/>
    <mergeCell ref="AF14:AJ14"/>
    <mergeCell ref="AP14:AT14"/>
    <mergeCell ref="AK13:AO13"/>
    <mergeCell ref="AF12:AJ12"/>
    <mergeCell ref="AK12:AO12"/>
    <mergeCell ref="R17:S17"/>
    <mergeCell ref="P17:Q17"/>
    <mergeCell ref="T17:V17"/>
    <mergeCell ref="AP10:AT10"/>
    <mergeCell ref="AF11:AJ11"/>
    <mergeCell ref="AK11:AO11"/>
    <mergeCell ref="AP11:AT11"/>
    <mergeCell ref="AP7:AT7"/>
    <mergeCell ref="AF8:AJ8"/>
    <mergeCell ref="AK8:AO8"/>
    <mergeCell ref="AP8:AT8"/>
    <mergeCell ref="AF9:AJ9"/>
    <mergeCell ref="AK9:AO9"/>
    <mergeCell ref="AP9:AT9"/>
    <mergeCell ref="AF10:AJ10"/>
    <mergeCell ref="AK10:AO10"/>
    <mergeCell ref="X10:AD10"/>
    <mergeCell ref="L11:O11"/>
    <mergeCell ref="P11:S11"/>
    <mergeCell ref="T11:W11"/>
    <mergeCell ref="X11:AD11"/>
    <mergeCell ref="H12:K12"/>
    <mergeCell ref="L12:O12"/>
    <mergeCell ref="P12:S12"/>
    <mergeCell ref="T12:W12"/>
    <mergeCell ref="H11:K11"/>
    <mergeCell ref="X9:AD9"/>
    <mergeCell ref="AF5:AJ6"/>
    <mergeCell ref="AK5:AO6"/>
    <mergeCell ref="T8:W8"/>
    <mergeCell ref="X8:AD8"/>
    <mergeCell ref="AF7:AJ7"/>
    <mergeCell ref="AK7:AO7"/>
    <mergeCell ref="H14:K14"/>
    <mergeCell ref="L14:O14"/>
    <mergeCell ref="P14:S14"/>
    <mergeCell ref="H7:K7"/>
    <mergeCell ref="L7:O7"/>
    <mergeCell ref="P7:S7"/>
    <mergeCell ref="H8:K8"/>
    <mergeCell ref="P8:S8"/>
    <mergeCell ref="T7:W7"/>
    <mergeCell ref="H9:K9"/>
    <mergeCell ref="L9:O9"/>
    <mergeCell ref="P9:S9"/>
    <mergeCell ref="T9:W9"/>
    <mergeCell ref="H10:K10"/>
    <mergeCell ref="L10:O10"/>
    <mergeCell ref="P10:S10"/>
    <mergeCell ref="T10:W10"/>
    <mergeCell ref="AP5:AT6"/>
    <mergeCell ref="H6:K6"/>
    <mergeCell ref="L6:O6"/>
    <mergeCell ref="P6:S6"/>
    <mergeCell ref="T6:W6"/>
    <mergeCell ref="X5:AD6"/>
    <mergeCell ref="AF4:AT4"/>
    <mergeCell ref="AL20:AT21"/>
    <mergeCell ref="G21:K21"/>
    <mergeCell ref="B19:J19"/>
    <mergeCell ref="H15:K15"/>
    <mergeCell ref="H16:K16"/>
    <mergeCell ref="AK16:AO16"/>
    <mergeCell ref="AP15:AT15"/>
    <mergeCell ref="AP16:AT16"/>
    <mergeCell ref="B7:D16"/>
    <mergeCell ref="E7:G16"/>
    <mergeCell ref="L15:O15"/>
    <mergeCell ref="P15:S15"/>
    <mergeCell ref="T15:W15"/>
    <mergeCell ref="L16:O16"/>
    <mergeCell ref="P16:S16"/>
    <mergeCell ref="X7:AD7"/>
    <mergeCell ref="L8:O8"/>
    <mergeCell ref="U2:AB2"/>
    <mergeCell ref="AC2:AD2"/>
    <mergeCell ref="B4:AD4"/>
    <mergeCell ref="B2:S2"/>
    <mergeCell ref="B5:G5"/>
    <mergeCell ref="H5:W5"/>
    <mergeCell ref="B6:D6"/>
    <mergeCell ref="E6:G6"/>
    <mergeCell ref="AP17:AT17"/>
    <mergeCell ref="AK17:AO17"/>
    <mergeCell ref="T13:W13"/>
    <mergeCell ref="X13:AD13"/>
    <mergeCell ref="AF13:AJ13"/>
    <mergeCell ref="X16:AD16"/>
    <mergeCell ref="AF15:AJ15"/>
    <mergeCell ref="X15:AD15"/>
    <mergeCell ref="T16:W16"/>
    <mergeCell ref="AP13:AT13"/>
    <mergeCell ref="H13:K13"/>
    <mergeCell ref="L13:O13"/>
    <mergeCell ref="P13:S13"/>
    <mergeCell ref="AK14:AO14"/>
    <mergeCell ref="AF16:AJ16"/>
    <mergeCell ref="AK15:AO15"/>
    <mergeCell ref="B35:H35"/>
    <mergeCell ref="I35:O35"/>
    <mergeCell ref="P35:U35"/>
    <mergeCell ref="B33:H34"/>
    <mergeCell ref="I33:O34"/>
    <mergeCell ref="B26:F26"/>
    <mergeCell ref="B31:E31"/>
    <mergeCell ref="F31:I31"/>
    <mergeCell ref="B29:U29"/>
    <mergeCell ref="B28:U28"/>
    <mergeCell ref="L26:P26"/>
    <mergeCell ref="B30:E30"/>
    <mergeCell ref="F30:I30"/>
    <mergeCell ref="J30:M30"/>
    <mergeCell ref="J31:M31"/>
    <mergeCell ref="AL30:AO30"/>
    <mergeCell ref="N31:Q31"/>
    <mergeCell ref="R30:U30"/>
    <mergeCell ref="B24:U24"/>
    <mergeCell ref="B25:F25"/>
    <mergeCell ref="G25:K25"/>
    <mergeCell ref="AC30:AF30"/>
    <mergeCell ref="N30:Q30"/>
    <mergeCell ref="AP34:AS34"/>
    <mergeCell ref="P33:U34"/>
    <mergeCell ref="AP28:AS29"/>
    <mergeCell ref="AL28:AO29"/>
    <mergeCell ref="Y28:AB29"/>
    <mergeCell ref="AP32:AS33"/>
    <mergeCell ref="Y30:AB30"/>
    <mergeCell ref="R31:U31"/>
    <mergeCell ref="AP30:AS30"/>
    <mergeCell ref="Y33:AB33"/>
    <mergeCell ref="AC33:AF33"/>
    <mergeCell ref="AG30:AJ30"/>
    <mergeCell ref="L25:P25"/>
    <mergeCell ref="Q25:U25"/>
    <mergeCell ref="AG32:AJ32"/>
    <mergeCell ref="AC32:AF32"/>
    <mergeCell ref="AL34:AO34"/>
    <mergeCell ref="AL32:AO33"/>
    <mergeCell ref="Y34:AB34"/>
    <mergeCell ref="AG34:AJ34"/>
    <mergeCell ref="Y31:AB31"/>
    <mergeCell ref="AC31:AF31"/>
    <mergeCell ref="AG33:AJ33"/>
    <mergeCell ref="AG31:AJ31"/>
    <mergeCell ref="Y32:AB32"/>
    <mergeCell ref="AC34:AF34"/>
    <mergeCell ref="X24:AT24"/>
    <mergeCell ref="X25:AT26"/>
    <mergeCell ref="AL22:AT22"/>
    <mergeCell ref="Q22:U22"/>
    <mergeCell ref="K19:U19"/>
    <mergeCell ref="G26:K26"/>
    <mergeCell ref="Q26:U26"/>
    <mergeCell ref="AC28:AF29"/>
    <mergeCell ref="AG28:AJ29"/>
    <mergeCell ref="X20:AJ21"/>
    <mergeCell ref="X22:AJ22"/>
    <mergeCell ref="G22:K22"/>
    <mergeCell ref="L22:P22"/>
    <mergeCell ref="B20:U20"/>
    <mergeCell ref="B21:F21"/>
    <mergeCell ref="B22:C22"/>
    <mergeCell ref="D22:F22"/>
    <mergeCell ref="L21:P21"/>
    <mergeCell ref="Q21:U21"/>
  </mergeCells>
  <phoneticPr fontId="1"/>
  <conditionalFormatting sqref="B30:I30">
    <cfRule type="expression" dxfId="45" priority="4">
      <formula>$Q$37=1</formula>
    </cfRule>
  </conditionalFormatting>
  <conditionalFormatting sqref="B31:I31">
    <cfRule type="expression" dxfId="44" priority="7">
      <formula>$Q$37=1</formula>
    </cfRule>
  </conditionalFormatting>
  <conditionalFormatting sqref="B22:P22">
    <cfRule type="expression" dxfId="43" priority="3">
      <formula>$Q$43=1</formula>
    </cfRule>
  </conditionalFormatting>
  <conditionalFormatting sqref="J30:M30">
    <cfRule type="expression" dxfId="42" priority="5">
      <formula>$Q$38=1</formula>
    </cfRule>
  </conditionalFormatting>
  <conditionalFormatting sqref="J31:M31">
    <cfRule type="expression" dxfId="41" priority="6">
      <formula>$Q$38=1</formula>
    </cfRule>
  </conditionalFormatting>
  <conditionalFormatting sqref="X27">
    <cfRule type="expression" dxfId="40" priority="10" stopIfTrue="1">
      <formula>$AE$37=0</formula>
    </cfRule>
  </conditionalFormatting>
  <conditionalFormatting sqref="X20:AJ22">
    <cfRule type="expression" dxfId="39" priority="15">
      <formula>$AE$37=0</formula>
    </cfRule>
  </conditionalFormatting>
  <conditionalFormatting sqref="X24:AT26 Y27:AT27 X28:AT31 AK32:AK33 AT32:AT33 X32:AJ34 AK34:AT34 X35:AT35">
    <cfRule type="expression" dxfId="38" priority="13">
      <formula>$AE$37=0</formula>
    </cfRule>
  </conditionalFormatting>
  <conditionalFormatting sqref="Y27:AT27">
    <cfRule type="expression" dxfId="37" priority="12">
      <formula>$AE$37=0</formula>
    </cfRule>
  </conditionalFormatting>
  <conditionalFormatting sqref="AF4:AT16">
    <cfRule type="expression" dxfId="36" priority="19">
      <formula>$AE$37=0</formula>
    </cfRule>
  </conditionalFormatting>
  <conditionalFormatting sqref="AK17:AT17">
    <cfRule type="expression" dxfId="35" priority="8">
      <formula>$AE$37=0</formula>
    </cfRule>
  </conditionalFormatting>
  <conditionalFormatting sqref="AL32:AS33">
    <cfRule type="expression" dxfId="34" priority="1" stopIfTrue="1">
      <formula>$AE$37=0</formula>
    </cfRule>
  </conditionalFormatting>
  <conditionalFormatting sqref="AL20:AT22">
    <cfRule type="expression" dxfId="33" priority="14">
      <formula>$AE$37=0</formula>
    </cfRule>
  </conditionalFormatting>
  <dataValidations xWindow="768" yWindow="723" count="23">
    <dataValidation type="list" allowBlank="1" showInputMessage="1" showErrorMessage="1" sqref="B29:U29" xr:uid="{84E50CED-A72B-4FD6-9C4D-3A9DC90D99D9}">
      <formula1>$B$37:$B$38</formula1>
    </dataValidation>
    <dataValidation type="decimal" allowBlank="1" showInputMessage="1" showErrorMessage="1" error="Invalid value" prompt="Typical value is 0.8_x000a_" sqref="B31:E31" xr:uid="{AF158A11-74A7-489D-AF36-3AE6681E9232}">
      <formula1>Z37</formula1>
      <formula2>AA37</formula2>
    </dataValidation>
    <dataValidation type="decimal" allowBlank="1" showInputMessage="1" showErrorMessage="1" error="Invalid value" prompt="Typical value is 3.0" sqref="F31:I31" xr:uid="{3CC33742-2291-4F1A-9729-DCAD1C123024}">
      <formula1>Z38</formula1>
      <formula2>AA38</formula2>
    </dataValidation>
    <dataValidation type="decimal" allowBlank="1" showInputMessage="1" showErrorMessage="1" error="Invalid value" prompt="Typical value is 2.0" sqref="J31:M31" xr:uid="{045037D0-FD19-4BA3-A2D9-B3D1D2973DE5}">
      <formula1>Z39</formula1>
      <formula2>AA39</formula2>
    </dataValidation>
    <dataValidation type="decimal" allowBlank="1" showInputMessage="1" showErrorMessage="1" error="Invalid value" prompt="Typical value is 4.0" sqref="I35:O35" xr:uid="{5B0AA77E-22DB-4048-85CB-25B5D68EF9FE}">
      <formula1>Z42</formula1>
      <formula2>AA42</formula2>
    </dataValidation>
    <dataValidation type="decimal" allowBlank="1" showInputMessage="1" showErrorMessage="1" error="Invalid value" sqref="B22:C22" xr:uid="{B2149695-C03B-4700-967C-768E4648EBCF}">
      <formula1>0.1</formula1>
      <formula2>10</formula2>
    </dataValidation>
    <dataValidation type="decimal" allowBlank="1" showInputMessage="1" showErrorMessage="1" error="Invalid value" prompt="Typical value is 0.75_x000a_" sqref="G22:K22" xr:uid="{4705B934-8CD6-4770-BA1F-5720E5749942}">
      <formula1>0.1</formula1>
      <formula2>1.4</formula2>
    </dataValidation>
    <dataValidation type="decimal" allowBlank="1" showInputMessage="1" showErrorMessage="1" error="Invalid value" prompt="Typical value is 0.35" sqref="L22:P22" xr:uid="{30762E87-20C1-4077-911F-C7CADB6973AD}">
      <formula1>0.15</formula1>
      <formula2>0.4</formula2>
    </dataValidation>
    <dataValidation type="decimal" allowBlank="1" showInputMessage="1" showErrorMessage="1" error="Invalid value" sqref="B26:F26" xr:uid="{01F138E8-E93C-45CD-A3E6-5E5FCBF6F97E}">
      <formula1>0</formula1>
      <formula2>160</formula2>
    </dataValidation>
    <dataValidation type="decimal" allowBlank="1" showInputMessage="1" showErrorMessage="1" error="Invalid value" sqref="G26:K26" xr:uid="{192EDFA3-B0DD-4850-B827-26CE2517DB84}">
      <formula1>5</formula1>
      <formula2>100</formula2>
    </dataValidation>
    <dataValidation type="list" allowBlank="1" showInputMessage="1" showErrorMessage="1" sqref="K19:U19" xr:uid="{6667F267-D615-441B-B3D5-E9BD87D71004}">
      <formula1>$B$41:$B$43</formula1>
    </dataValidation>
    <dataValidation type="decimal" allowBlank="1" showInputMessage="1" showErrorMessage="1" error="Invalid value" prompt="Typical value is 0.35" sqref="N31:Q31" xr:uid="{C6B70F9C-4C7A-462B-B419-746C29CDD84D}">
      <formula1>Z41</formula1>
      <formula2>AA41</formula2>
    </dataValidation>
    <dataValidation type="decimal" allowBlank="1" showInputMessage="1" showErrorMessage="1" error="Invalid value" prompt="Typical value is 0.1" sqref="B35:H35" xr:uid="{EC4B99A6-1965-4DA8-B9F0-D8D390FC9817}">
      <formula1>0.0001</formula1>
      <formula2>50</formula2>
    </dataValidation>
    <dataValidation type="decimal" allowBlank="1" showInputMessage="1" showErrorMessage="1" error="Invalid value" prompt="Typical value is 90" sqref="P35:U35" xr:uid="{89E36C56-937A-4A97-A707-39E485251131}">
      <formula1>10</formula1>
      <formula2>99</formula2>
    </dataValidation>
    <dataValidation type="decimal" allowBlank="1" showInputMessage="1" showErrorMessage="1" error="Invalid value" sqref="L26:P26 Q22:U22" xr:uid="{889A4291-0F8A-487A-BE58-021FBC13044B}">
      <formula1>0.5</formula1>
      <formula2>700</formula2>
    </dataValidation>
    <dataValidation type="decimal" allowBlank="1" showInputMessage="1" showErrorMessage="1" error="Invalid value" sqref="Y30:AB30 Y31:AB31 Y32:AB32 Y33:AB33 Y34:AB34" xr:uid="{052CF287-24D3-4C6E-AB4E-A77020CFCA66}">
      <formula1>0.1</formula1>
      <formula2>60</formula2>
    </dataValidation>
    <dataValidation type="whole" allowBlank="1" showInputMessage="1" showErrorMessage="1" error="Invalid value" sqref="AL30:AO30" xr:uid="{023B7AB0-3BE4-4F3E-AB00-BC6CF2413BA7}">
      <formula1>1</formula1>
      <formula2>10000</formula2>
    </dataValidation>
    <dataValidation type="decimal" allowBlank="1" showInputMessage="1" showErrorMessage="1" error="Invalid value" sqref="AL34:AO34" xr:uid="{B41BE79A-A95B-4408-AAD8-2A38143C2095}">
      <formula1>0.1</formula1>
      <formula2>10000</formula2>
    </dataValidation>
    <dataValidation type="decimal" allowBlank="1" showInputMessage="1" showErrorMessage="1" error="Invalid value" prompt="Enter temperature of typical atmosphere arround semiconductor devices before THB operation." sqref="B7:D16" xr:uid="{35F553F0-EED7-42BA-86F2-B7F26FAA0B09}">
      <formula1>-20</formula1>
      <formula2>100</formula2>
    </dataValidation>
    <dataValidation type="decimal" allowBlank="1" showInputMessage="1" showErrorMessage="1" error="Invalid value" prompt="Enter relative humidity of typical atmosphere arround semiconductor devices before THB operation." sqref="E7:G16" xr:uid="{F99E2C16-1BF8-4556-8055-21E6E017286F}">
      <formula1>1</formula1>
      <formula2>100</formula2>
    </dataValidation>
    <dataValidation type="decimal" allowBlank="1" showInputMessage="1" showErrorMessage="1" error="Invalid value" sqref="H7:K16" xr:uid="{0959600F-CCD1-4B91-8098-B29A57238CA2}">
      <formula1>-10</formula1>
      <formula2>200</formula2>
    </dataValidation>
    <dataValidation type="decimal" allowBlank="1" showInputMessage="1" showErrorMessage="1" error="Invalid value" sqref="P7:S16" xr:uid="{821E0C11-4BFC-44AA-B633-48CA74C6D0E6}">
      <formula1>0</formula1>
      <formula2>100</formula2>
    </dataValidation>
    <dataValidation type="decimal" allowBlank="1" showInputMessage="1" showErrorMessage="1" error="Invalid value" sqref="AC2:AD2" xr:uid="{F0AA334D-D00F-42D2-98DF-A7532E2DDE58}">
      <formula1>0.1</formula1>
      <formula2>100</formula2>
    </dataValidation>
  </dataValidations>
  <pageMargins left="0.7" right="0.7" top="0.75" bottom="0.75" header="0.3" footer="0.3"/>
  <pageSetup paperSize="9" orientation="landscape" r:id="rId1"/>
  <ignoredErrors>
    <ignoredError sqref="AP17" evalError="1"/>
    <ignoredError sqref="D22 L7:O7 L8:L16"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6473A-3C85-4815-80C3-FF0C446030D2}">
  <sheetPr codeName="Sheet4"/>
  <dimension ref="A1:BL76"/>
  <sheetViews>
    <sheetView showGridLines="0" showRowColHeaders="0" zoomScaleNormal="100" workbookViewId="0">
      <selection activeCell="I35" sqref="I35:O35"/>
    </sheetView>
  </sheetViews>
  <sheetFormatPr defaultColWidth="9" defaultRowHeight="14"/>
  <cols>
    <col min="1" max="1" width="2.90625" style="1" customWidth="1"/>
    <col min="2" max="46" width="3.54296875" style="1" customWidth="1"/>
    <col min="47" max="49" width="2.90625" style="1" hidden="1" customWidth="1"/>
    <col min="50" max="50" width="14.08984375" style="1" hidden="1" customWidth="1"/>
    <col min="51" max="51" width="12" style="1" hidden="1" customWidth="1"/>
    <col min="52" max="52" width="17.54296875" style="1" hidden="1" customWidth="1"/>
    <col min="53" max="59" width="9" style="32" hidden="1" customWidth="1"/>
    <col min="60" max="64" width="9" style="1" hidden="1" customWidth="1"/>
    <col min="65" max="16384" width="9" style="1"/>
  </cols>
  <sheetData>
    <row r="1" spans="1:64" ht="5" customHeight="1" thickBot="1">
      <c r="A1" s="78" t="s">
        <v>87</v>
      </c>
      <c r="D1" s="4"/>
    </row>
    <row r="2" spans="1:64" ht="26" customHeight="1" thickBot="1">
      <c r="B2" s="635" t="s">
        <v>73</v>
      </c>
      <c r="C2" s="353"/>
      <c r="D2" s="353"/>
      <c r="E2" s="353"/>
      <c r="F2" s="353"/>
      <c r="G2" s="353"/>
      <c r="H2" s="353"/>
      <c r="I2" s="353"/>
      <c r="J2" s="353"/>
      <c r="K2" s="353"/>
      <c r="L2" s="353"/>
      <c r="M2" s="353"/>
      <c r="N2" s="353"/>
      <c r="O2" s="353"/>
      <c r="P2" s="353"/>
      <c r="Q2" s="353"/>
      <c r="R2" s="353"/>
      <c r="S2" s="353"/>
      <c r="U2" s="359" t="s">
        <v>114</v>
      </c>
      <c r="V2" s="360"/>
      <c r="W2" s="360"/>
      <c r="X2" s="360"/>
      <c r="Y2" s="360"/>
      <c r="Z2" s="360"/>
      <c r="AA2" s="360"/>
      <c r="AB2" s="361"/>
      <c r="AC2" s="157">
        <v>10</v>
      </c>
      <c r="AD2" s="362"/>
      <c r="BG2" s="1"/>
      <c r="BH2" s="1">
        <v>8</v>
      </c>
      <c r="BI2" s="1">
        <f>(((-1)^BH2)/(2*BH2+1))</f>
        <v>5.8823529411764705E-2</v>
      </c>
      <c r="BJ2" s="1">
        <f>((2 * BH2 + 1) ^ 2)</f>
        <v>289</v>
      </c>
      <c r="BK2" s="1">
        <v>9.8695877000000003</v>
      </c>
    </row>
    <row r="3" spans="1:64" ht="5" customHeight="1" thickBot="1">
      <c r="BG3" s="1"/>
    </row>
    <row r="4" spans="1:64" ht="24" customHeight="1" thickBot="1">
      <c r="B4" s="354" t="s">
        <v>155</v>
      </c>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6"/>
      <c r="AF4" s="358" t="s">
        <v>128</v>
      </c>
      <c r="AG4" s="355"/>
      <c r="AH4" s="355"/>
      <c r="AI4" s="355"/>
      <c r="AJ4" s="355"/>
      <c r="AK4" s="355"/>
      <c r="AL4" s="355"/>
      <c r="AM4" s="355"/>
      <c r="AN4" s="355"/>
      <c r="AO4" s="355"/>
      <c r="AP4" s="355"/>
      <c r="AQ4" s="355"/>
      <c r="AR4" s="355"/>
      <c r="AS4" s="355"/>
      <c r="AT4" s="356"/>
      <c r="AU4" s="32"/>
      <c r="AV4" s="32"/>
      <c r="AW4" s="32"/>
      <c r="AX4" s="32"/>
      <c r="BG4" s="1"/>
    </row>
    <row r="5" spans="1:64" ht="12" customHeight="1">
      <c r="A5" s="3"/>
      <c r="B5" s="636" t="s">
        <v>177</v>
      </c>
      <c r="C5" s="447"/>
      <c r="D5" s="447"/>
      <c r="E5" s="447"/>
      <c r="F5" s="447"/>
      <c r="G5" s="448"/>
      <c r="H5" s="473" t="s">
        <v>178</v>
      </c>
      <c r="I5" s="474"/>
      <c r="J5" s="474"/>
      <c r="K5" s="474"/>
      <c r="L5" s="474"/>
      <c r="M5" s="474"/>
      <c r="N5" s="474"/>
      <c r="O5" s="474"/>
      <c r="P5" s="474"/>
      <c r="Q5" s="474"/>
      <c r="R5" s="474"/>
      <c r="S5" s="474"/>
      <c r="T5" s="474"/>
      <c r="U5" s="474"/>
      <c r="V5" s="474"/>
      <c r="W5" s="475"/>
      <c r="X5" s="637" t="s">
        <v>0</v>
      </c>
      <c r="Y5" s="164"/>
      <c r="Z5" s="164"/>
      <c r="AA5" s="164"/>
      <c r="AB5" s="164"/>
      <c r="AC5" s="164"/>
      <c r="AD5" s="165"/>
      <c r="AE5" s="3"/>
      <c r="AF5" s="646" t="s">
        <v>10</v>
      </c>
      <c r="AG5" s="637"/>
      <c r="AH5" s="637"/>
      <c r="AI5" s="637"/>
      <c r="AJ5" s="647"/>
      <c r="AK5" s="649" t="s">
        <v>139</v>
      </c>
      <c r="AL5" s="637"/>
      <c r="AM5" s="637"/>
      <c r="AN5" s="637"/>
      <c r="AO5" s="647"/>
      <c r="AP5" s="649" t="s">
        <v>11</v>
      </c>
      <c r="AQ5" s="637"/>
      <c r="AR5" s="637"/>
      <c r="AS5" s="637"/>
      <c r="AT5" s="656"/>
      <c r="AU5" s="32"/>
      <c r="AV5" s="32"/>
      <c r="AW5" s="32"/>
      <c r="AX5" s="32"/>
      <c r="BG5" s="1" t="s">
        <v>156</v>
      </c>
      <c r="BH5" s="1">
        <f>G22*EXP(-L22/ (0.00008617 * (B26+ 273.15)))</f>
        <v>8.9079327281260495E-6</v>
      </c>
    </row>
    <row r="6" spans="1:64" ht="12" customHeight="1" thickBot="1">
      <c r="A6" s="3"/>
      <c r="B6" s="638" t="s">
        <v>144</v>
      </c>
      <c r="C6" s="419"/>
      <c r="D6" s="419"/>
      <c r="E6" s="639" t="s">
        <v>142</v>
      </c>
      <c r="F6" s="419"/>
      <c r="G6" s="420"/>
      <c r="H6" s="638" t="s">
        <v>145</v>
      </c>
      <c r="I6" s="419"/>
      <c r="J6" s="419"/>
      <c r="K6" s="419"/>
      <c r="L6" s="639" t="s">
        <v>142</v>
      </c>
      <c r="M6" s="419"/>
      <c r="N6" s="419"/>
      <c r="O6" s="419"/>
      <c r="P6" s="639" t="s">
        <v>149</v>
      </c>
      <c r="Q6" s="419"/>
      <c r="R6" s="419"/>
      <c r="S6" s="419"/>
      <c r="T6" s="639" t="s">
        <v>148</v>
      </c>
      <c r="U6" s="419"/>
      <c r="V6" s="419"/>
      <c r="W6" s="420"/>
      <c r="X6" s="510"/>
      <c r="Y6" s="510"/>
      <c r="Z6" s="510"/>
      <c r="AA6" s="510"/>
      <c r="AB6" s="510"/>
      <c r="AC6" s="510"/>
      <c r="AD6" s="511"/>
      <c r="AE6" s="3"/>
      <c r="AF6" s="590"/>
      <c r="AG6" s="591"/>
      <c r="AH6" s="591"/>
      <c r="AI6" s="591"/>
      <c r="AJ6" s="648"/>
      <c r="AK6" s="483"/>
      <c r="AL6" s="591"/>
      <c r="AM6" s="591"/>
      <c r="AN6" s="591"/>
      <c r="AO6" s="648"/>
      <c r="AP6" s="483"/>
      <c r="AQ6" s="591"/>
      <c r="AR6" s="591"/>
      <c r="AS6" s="591"/>
      <c r="AT6" s="657"/>
      <c r="AU6" s="32"/>
      <c r="AV6" s="32"/>
      <c r="AW6" s="32"/>
      <c r="AX6" s="32"/>
      <c r="BG6" s="1" t="s">
        <v>159</v>
      </c>
      <c r="BH6" s="1">
        <f>IF(Q41=1,1,0)*(B22-0.3)+IF(Q42=1,1,0)*(B22*2)</f>
        <v>1.2</v>
      </c>
    </row>
    <row r="7" spans="1:64" ht="11" customHeight="1">
      <c r="A7" s="3"/>
      <c r="B7" s="525">
        <v>30</v>
      </c>
      <c r="C7" s="526"/>
      <c r="D7" s="527"/>
      <c r="E7" s="534">
        <v>80</v>
      </c>
      <c r="F7" s="526"/>
      <c r="G7" s="535"/>
      <c r="H7" s="552">
        <v>40</v>
      </c>
      <c r="I7" s="553"/>
      <c r="J7" s="553"/>
      <c r="K7" s="553"/>
      <c r="L7" s="500">
        <f>IF(AU7=0,"",IF(BA7&gt;100,100,BA7))</f>
        <v>46.017149987406476</v>
      </c>
      <c r="M7" s="500"/>
      <c r="N7" s="500"/>
      <c r="O7" s="500"/>
      <c r="P7" s="554">
        <v>30</v>
      </c>
      <c r="Q7" s="545"/>
      <c r="R7" s="545"/>
      <c r="S7" s="545"/>
      <c r="T7" s="484">
        <f>IF(AV7=0,"",8760*$AC$2*P7/100)</f>
        <v>26280</v>
      </c>
      <c r="U7" s="484"/>
      <c r="V7" s="484"/>
      <c r="W7" s="485"/>
      <c r="X7" s="640"/>
      <c r="Y7" s="545"/>
      <c r="Z7" s="545"/>
      <c r="AA7" s="545"/>
      <c r="AB7" s="545"/>
      <c r="AC7" s="545"/>
      <c r="AD7" s="546"/>
      <c r="AE7" s="3"/>
      <c r="AF7" s="643">
        <f>IF(AW7=0,"",(22120*EXP(((-7.76451)*(1-(H7+273.15)/647.3)+1.45838*(1-(H7+273.15)/647.3)^1.5+(-2.7758)*(1-(H7+273.15)/647.3)^3+(-1.23303)*(1-(H7+273.15)/647.3)^6)/(1-(1-(H7+273.15)/647.3))))*L7/100)</f>
        <v>3.3988141060375665</v>
      </c>
      <c r="AG7" s="644"/>
      <c r="AH7" s="644"/>
      <c r="AI7" s="644"/>
      <c r="AJ7" s="645"/>
      <c r="AK7" s="650">
        <f>IF(AX7=0,"",$Q$37*(($G$26/L7)^$G$31*EXP(($B$31/0.00008617)*(1/(H7+273.15)-1/($B$26+273.15))))+$Q$38*(($Q$26/AF7)^$L$31))</f>
        <v>209.22899993467112</v>
      </c>
      <c r="AL7" s="651"/>
      <c r="AM7" s="651"/>
      <c r="AN7" s="651"/>
      <c r="AO7" s="652"/>
      <c r="AP7" s="653">
        <f>IF(AY7=0,"",T7/AK7)</f>
        <v>125.60400330836342</v>
      </c>
      <c r="AQ7" s="654"/>
      <c r="AR7" s="654"/>
      <c r="AS7" s="654"/>
      <c r="AT7" s="655"/>
      <c r="AU7" s="122">
        <f>IF(H7="",0,1)*IF($B$7="",0,1)*IF($E$7="",0,1)</f>
        <v>1</v>
      </c>
      <c r="AV7" s="32">
        <f>IF(P7="",0,1)*IF($AC$2="",0,1)</f>
        <v>1</v>
      </c>
      <c r="AW7" s="1">
        <f t="shared" ref="AW7:AW16" si="0">AU7</f>
        <v>1</v>
      </c>
      <c r="AX7" s="1">
        <f>IF(AF7="",0,1)*IF($B$26="",0,1)*IF($G$26="",0,1)*($Q$37*IF($B$31="",0,1)*IF($G$31="",0,1)+$Q$38*IF($L$31="",0,1))</f>
        <v>1</v>
      </c>
      <c r="AY7" s="1">
        <f>IF(T7="",0,1)*IF(AK7="",0,1)</f>
        <v>1</v>
      </c>
      <c r="AZ7" s="1">
        <f>IF(AW7=0,"",(22120*EXP(((-7.76451)*(1-($B$7+273.15)/647.3)+1.45838*(1-($B$7+273.15)/647.3)^1.5+(-2.7758)*(1-($B$7+273.15)/647.3)^3+(-1.23303)*(1-($B$7+273.15)/647.3)^6)/(1-(1-($B$7+273.15)/647.3))))*$E$7/100)</f>
        <v>3.3988503736343372</v>
      </c>
      <c r="BA7" s="1">
        <f>AZ7/(22120*EXP(((-7.7645)*(1-(H7+273.15)/647.3)+1.45838*(1-(H7+273.15)/647.3)^1.5+(-2.7758)*(1-(H7+273.15)/647.3)^3+(-1.23303)*(1-(H7+273.15)/647.3)^6)/(1-(1-(H7+273.15)/647.3))))*100</f>
        <v>46.017149987406476</v>
      </c>
      <c r="BG7" s="1"/>
      <c r="BH7" s="124" t="s">
        <v>157</v>
      </c>
      <c r="BI7" s="124" t="s">
        <v>158</v>
      </c>
    </row>
    <row r="8" spans="1:64" ht="11" customHeight="1">
      <c r="A8" s="3"/>
      <c r="B8" s="528"/>
      <c r="C8" s="529"/>
      <c r="D8" s="530"/>
      <c r="E8" s="536"/>
      <c r="F8" s="529"/>
      <c r="G8" s="537"/>
      <c r="H8" s="498">
        <v>50</v>
      </c>
      <c r="I8" s="499"/>
      <c r="J8" s="499"/>
      <c r="K8" s="499"/>
      <c r="L8" s="500">
        <f t="shared" ref="L8:L16" si="1">IF(AU8=0,"",IF(BA8&gt;100,100,BA8))</f>
        <v>27.519037278441672</v>
      </c>
      <c r="M8" s="500"/>
      <c r="N8" s="500"/>
      <c r="O8" s="500"/>
      <c r="P8" s="501">
        <v>20</v>
      </c>
      <c r="Q8" s="487"/>
      <c r="R8" s="487"/>
      <c r="S8" s="487"/>
      <c r="T8" s="484">
        <f t="shared" ref="T8:T16" si="2">IF(AV8=0,"",8760*$AC$2*P8/100)</f>
        <v>17520</v>
      </c>
      <c r="U8" s="484"/>
      <c r="V8" s="484"/>
      <c r="W8" s="485"/>
      <c r="X8" s="569"/>
      <c r="Y8" s="487"/>
      <c r="Z8" s="487"/>
      <c r="AA8" s="487"/>
      <c r="AB8" s="487"/>
      <c r="AC8" s="487"/>
      <c r="AD8" s="488"/>
      <c r="AE8" s="3"/>
      <c r="AF8" s="566">
        <f>IF(AW8=0,"",(22120*EXP(((-7.76451)*(1-(H8+273.15)/647.3)+1.45838*(1-(H8+273.15)/647.3)^1.5+(-2.7758)*(1-(H8+273.15)/647.3)^3+(-1.23303)*(1-(H8+273.15)/647.3)^6)/(1-(1-(H8+273.15)/647.3))))*L8/100)</f>
        <v>3.3988162801228707</v>
      </c>
      <c r="AG8" s="567"/>
      <c r="AH8" s="567"/>
      <c r="AI8" s="567"/>
      <c r="AJ8" s="568"/>
      <c r="AK8" s="583">
        <f>IF(AX8=0,"",$Q$37*(($G$26/L8)^$G$31*EXP(($B$31/0.00008617)*(1/(H8+273.15)-1/($B$26+273.15))))+$Q$38*(($Q$26/AF8)^$L$31))</f>
        <v>209.22873226409936</v>
      </c>
      <c r="AL8" s="584"/>
      <c r="AM8" s="584"/>
      <c r="AN8" s="584"/>
      <c r="AO8" s="585"/>
      <c r="AP8" s="586">
        <f>IF(AY8=0,"",T8/AK8)</f>
        <v>83.736109330745961</v>
      </c>
      <c r="AQ8" s="587"/>
      <c r="AR8" s="587"/>
      <c r="AS8" s="587"/>
      <c r="AT8" s="588"/>
      <c r="AU8" s="122">
        <f t="shared" ref="AU8:AU16" si="3">IF(H8="",0,1)*IF($B$7="",0,1)*IF($E$7="",0,1)</f>
        <v>1</v>
      </c>
      <c r="AV8" s="32">
        <f t="shared" ref="AV8:AV16" si="4">IF(P8="",0,1)*IF($AC$2="",0,1)</f>
        <v>1</v>
      </c>
      <c r="AW8" s="1">
        <f t="shared" si="0"/>
        <v>1</v>
      </c>
      <c r="AX8" s="1">
        <f>IF(AF8="",0,1)*IF($B$26="",0,1)*IF($G$26="",0,1)*($Q$37*IF($B$31="",0,1)*IF($G$31="",0,1)+$Q$38*IF($L$31="",0,1))</f>
        <v>1</v>
      </c>
      <c r="AY8" s="1">
        <f>IF(T8="",0,1)*IF(AK8="",0,1)</f>
        <v>1</v>
      </c>
      <c r="AZ8" s="1">
        <f>IF(AW8=0,"",(22120*EXP(((-7.76451)*(1-($B$7+273.15)/647.3)+1.45838*(1-($B$7+273.15)/647.3)^1.5+(-2.7758)*(1-($B$7+273.15)/647.3)^3+(-1.23303)*(1-($B$7+273.15)/647.3)^6)/(1-(1-($B$7+273.15)/647.3))))*$E$7/100)</f>
        <v>3.3988503736343372</v>
      </c>
      <c r="BA8" s="1">
        <f>AZ8/(22120*EXP(((-7.7645)*(1-(H8+273.15)/647.3)+1.45838*(1-(H8+273.15)/647.3)^1.5+(-2.7758)*(1-(H8+273.15)/647.3)^3+(-1.23303)*(1-(H8+273.15)/647.3)^6)/(1-(1-(H8+273.15)/647.3))))*100</f>
        <v>27.519037278441672</v>
      </c>
      <c r="BG8" s="1" t="s">
        <v>161</v>
      </c>
      <c r="BH8" s="1">
        <v>0</v>
      </c>
      <c r="BI8" s="1">
        <f>BH8*3600</f>
        <v>0</v>
      </c>
      <c r="BL8" s="1">
        <v>0</v>
      </c>
    </row>
    <row r="9" spans="1:64" ht="11" customHeight="1">
      <c r="A9" s="3"/>
      <c r="B9" s="528"/>
      <c r="C9" s="529"/>
      <c r="D9" s="530"/>
      <c r="E9" s="536"/>
      <c r="F9" s="529"/>
      <c r="G9" s="537"/>
      <c r="H9" s="498">
        <v>60</v>
      </c>
      <c r="I9" s="499"/>
      <c r="J9" s="499"/>
      <c r="K9" s="499"/>
      <c r="L9" s="500">
        <f>IF(AU9=0,"",IF(BA9&gt;100,100,BA9))</f>
        <v>17.044670067624619</v>
      </c>
      <c r="M9" s="500"/>
      <c r="N9" s="500"/>
      <c r="O9" s="500"/>
      <c r="P9" s="501">
        <v>20</v>
      </c>
      <c r="Q9" s="487"/>
      <c r="R9" s="487"/>
      <c r="S9" s="487"/>
      <c r="T9" s="484">
        <f t="shared" si="2"/>
        <v>17520</v>
      </c>
      <c r="U9" s="484"/>
      <c r="V9" s="484"/>
      <c r="W9" s="485"/>
      <c r="X9" s="569"/>
      <c r="Y9" s="487"/>
      <c r="Z9" s="487"/>
      <c r="AA9" s="487"/>
      <c r="AB9" s="487"/>
      <c r="AC9" s="487"/>
      <c r="AD9" s="488"/>
      <c r="AE9" s="3"/>
      <c r="AF9" s="566">
        <f>IF(AW9=0,"",(22120*EXP(((-7.76451)*(1-(H9+273.15)/647.3)+1.45838*(1-(H9+273.15)/647.3)^1.5+(-2.7758)*(1-(H9+273.15)/647.3)^3+(-1.23303)*(1-(H9+273.15)/647.3)^6)/(1-(1-(H9+273.15)/647.3))))*L9/100)</f>
        <v>3.3988183236925522</v>
      </c>
      <c r="AG9" s="567"/>
      <c r="AH9" s="567"/>
      <c r="AI9" s="567"/>
      <c r="AJ9" s="568"/>
      <c r="AK9" s="583">
        <f>IF(AX9=0,"",$Q$37*(($G$26/L9)^$G$31*EXP(($B$31/0.00008617)*(1/(H9+273.15)-1/($B$26+273.15))))+$Q$38*(($Q$26/AF9)^$L$31))</f>
        <v>209.2284806629107</v>
      </c>
      <c r="AL9" s="584"/>
      <c r="AM9" s="584"/>
      <c r="AN9" s="584"/>
      <c r="AO9" s="585"/>
      <c r="AP9" s="586">
        <f>IF(AY9=0,"",T9/AK9)</f>
        <v>83.736210024994548</v>
      </c>
      <c r="AQ9" s="587"/>
      <c r="AR9" s="587"/>
      <c r="AS9" s="587"/>
      <c r="AT9" s="588"/>
      <c r="AU9" s="122">
        <f t="shared" si="3"/>
        <v>1</v>
      </c>
      <c r="AV9" s="32">
        <f t="shared" si="4"/>
        <v>1</v>
      </c>
      <c r="AW9" s="1">
        <f t="shared" si="0"/>
        <v>1</v>
      </c>
      <c r="AX9" s="1">
        <f>IF(AF9="",0,1)*IF($B$26="",0,1)*IF($G$26="",0,1)*($Q$37*IF($B$31="",0,1)*IF($G$31="",0,1)+$Q$38*IF($L$31="",0,1))</f>
        <v>1</v>
      </c>
      <c r="AY9" s="1">
        <f>IF(T9="",0,1)*IF(AK9="",0,1)</f>
        <v>1</v>
      </c>
      <c r="AZ9" s="1">
        <f>IF(AW9=0,"",(22120*EXP(((-7.76451)*(1-($B$7+273.15)/647.3)+1.45838*(1-($B$7+273.15)/647.3)^1.5+(-2.7758)*(1-($B$7+273.15)/647.3)^3+(-1.23303)*(1-($B$7+273.15)/647.3)^6)/(1-(1-($B$7+273.15)/647.3))))*$E$7/100)</f>
        <v>3.3988503736343372</v>
      </c>
      <c r="BA9" s="1">
        <f>AZ9/(22120*EXP(((-7.7645)*(1-(H9+273.15)/647.3)+1.45838*(1-(H9+273.15)/647.3)^1.5+(-2.7758)*(1-(H9+273.15)/647.3)^3+(-1.23303)*(1-(H9+273.15)/647.3)^6)/(1-(1-(H9+273.15)/647.3))))*100</f>
        <v>17.044670067624619</v>
      </c>
      <c r="BG9" s="1"/>
      <c r="BH9" s="1">
        <f>BH8+1000</f>
        <v>1000</v>
      </c>
      <c r="BI9" s="1">
        <f t="shared" ref="BI9:BI72" si="5">BH9*3600</f>
        <v>3600000</v>
      </c>
      <c r="BJ9" s="1">
        <f t="shared" ref="BJ9:BJ72" si="6">EXP(-(9.8695877*$BH$5*BI9)/($BH$6^2))+(-0.33333)*EXP(-(9*9.8695877*$BH$5*BI9)/($BH$6^2))+0.2*EXP(-(25*9.8695877*$BH$5*BI9)/($BH$6^2))+(-0.14286)*EXP(-(49*9.8695877*$BH$5*BI9)/($BH$6^2))+0.111111*EXP(-(81*9.8695877*$BH$5*BI9)/($BH$6^2))+(-0.09091)*EXP(-(121*9.8695877*$BH$5*BI9)/($BH$6^2))+0.076923*EXP(-(169*9.8695877*$BH$5*BI9)/($BH$6^2))+(-0.06667)*EXP(-(225*9.8695877*$BH$5*BI9)/($BH$6^2))+0.058824*EXP(-(289*9.8695877*$BH$5*BI9)/($BH$6^2))</f>
        <v>3.504720284441098E-96</v>
      </c>
      <c r="BK9" s="1">
        <f t="shared" ref="BK9:BK72" si="7">1-(4/3.14159)*BJ9</f>
        <v>1</v>
      </c>
      <c r="BL9" s="1">
        <f>IF(BK9&lt;0.9,BH9,BL8)</f>
        <v>0</v>
      </c>
    </row>
    <row r="10" spans="1:64" ht="11" customHeight="1">
      <c r="A10" s="3"/>
      <c r="B10" s="528"/>
      <c r="C10" s="529"/>
      <c r="D10" s="530"/>
      <c r="E10" s="536"/>
      <c r="F10" s="529"/>
      <c r="G10" s="537"/>
      <c r="H10" s="498">
        <v>70</v>
      </c>
      <c r="I10" s="499"/>
      <c r="J10" s="499"/>
      <c r="K10" s="499"/>
      <c r="L10" s="500">
        <f t="shared" si="1"/>
        <v>10.897944532196274</v>
      </c>
      <c r="M10" s="500"/>
      <c r="N10" s="500"/>
      <c r="O10" s="500"/>
      <c r="P10" s="501">
        <v>15</v>
      </c>
      <c r="Q10" s="487"/>
      <c r="R10" s="487"/>
      <c r="S10" s="487"/>
      <c r="T10" s="484">
        <f t="shared" si="2"/>
        <v>13140</v>
      </c>
      <c r="U10" s="484"/>
      <c r="V10" s="484"/>
      <c r="W10" s="485"/>
      <c r="X10" s="569"/>
      <c r="Y10" s="487"/>
      <c r="Z10" s="487"/>
      <c r="AA10" s="487"/>
      <c r="AB10" s="487"/>
      <c r="AC10" s="487"/>
      <c r="AD10" s="488"/>
      <c r="AE10" s="3"/>
      <c r="AF10" s="566">
        <f>IF(AW10=0,"",(22120*EXP(((-7.76451)*(1-(H10+273.15)/647.3)+1.45838*(1-(H10+273.15)/647.3)^1.5+(-2.7758)*(1-(H10+273.15)/647.3)^3+(-1.23303)*(1-(H10+273.15)/647.3)^6)/(1-(1-(H10+273.15)/647.3))))*L10/100)</f>
        <v>3.3988202481568566</v>
      </c>
      <c r="AG10" s="567"/>
      <c r="AH10" s="567"/>
      <c r="AI10" s="567"/>
      <c r="AJ10" s="568"/>
      <c r="AK10" s="583">
        <f>IF(AX10=0,"",$Q$37*(($G$26/L10)^$G$31*EXP(($B$31/0.00008617)*(1/(H10+273.15)-1/($B$26+273.15))))+$Q$38*(($Q$26/AF10)^$L$31))</f>
        <v>209.22824372620963</v>
      </c>
      <c r="AL10" s="584"/>
      <c r="AM10" s="584"/>
      <c r="AN10" s="584"/>
      <c r="AO10" s="585"/>
      <c r="AP10" s="586">
        <f>IF(AY10=0,"",T10/AK10)</f>
        <v>62.802228637901514</v>
      </c>
      <c r="AQ10" s="587"/>
      <c r="AR10" s="587"/>
      <c r="AS10" s="587"/>
      <c r="AT10" s="588"/>
      <c r="AU10" s="122">
        <f t="shared" si="3"/>
        <v>1</v>
      </c>
      <c r="AV10" s="32">
        <f t="shared" si="4"/>
        <v>1</v>
      </c>
      <c r="AW10" s="1">
        <f t="shared" si="0"/>
        <v>1</v>
      </c>
      <c r="AX10" s="1">
        <f>IF(AF10="",0,1)*IF($B$26="",0,1)*IF($G$26="",0,1)*($Q$37*IF($B$31="",0,1)*IF($G$31="",0,1)+$Q$38*IF($L$31="",0,1))</f>
        <v>1</v>
      </c>
      <c r="AY10" s="1">
        <f>IF(T10="",0,1)*IF(AK10="",0,1)</f>
        <v>1</v>
      </c>
      <c r="AZ10" s="1">
        <f>IF(AW10=0,"",(22120*EXP(((-7.76451)*(1-($B$7+273.15)/647.3)+1.45838*(1-($B$7+273.15)/647.3)^1.5+(-2.7758)*(1-($B$7+273.15)/647.3)^3+(-1.23303)*(1-($B$7+273.15)/647.3)^6)/(1-(1-($B$7+273.15)/647.3))))*$E$7/100)</f>
        <v>3.3988503736343372</v>
      </c>
      <c r="BA10" s="1">
        <f>AZ10/(22120*EXP(((-7.7645)*(1-(H10+273.15)/647.3)+1.45838*(1-(H10+273.15)/647.3)^1.5+(-2.7758)*(1-(H10+273.15)/647.3)^3+(-1.23303)*(1-(H10+273.15)/647.3)^6)/(1-(1-(H10+273.15)/647.3))))*100</f>
        <v>10.897944532196274</v>
      </c>
      <c r="BG10" s="1"/>
      <c r="BH10" s="1">
        <f t="shared" ref="BH10:BH17" si="8">BH9+1000</f>
        <v>2000</v>
      </c>
      <c r="BI10" s="1">
        <f t="shared" si="5"/>
        <v>7200000</v>
      </c>
      <c r="BJ10" s="1">
        <f t="shared" si="6"/>
        <v>1.2283064272172891E-191</v>
      </c>
      <c r="BK10" s="1">
        <f t="shared" si="7"/>
        <v>1</v>
      </c>
      <c r="BL10" s="1">
        <f t="shared" ref="BL10:BL74" si="9">IF(BK10&lt;0.9,BH10,BL9)</f>
        <v>0</v>
      </c>
    </row>
    <row r="11" spans="1:64" ht="11" customHeight="1">
      <c r="A11" s="3"/>
      <c r="B11" s="528"/>
      <c r="C11" s="529"/>
      <c r="D11" s="530"/>
      <c r="E11" s="536"/>
      <c r="F11" s="529"/>
      <c r="G11" s="537"/>
      <c r="H11" s="498">
        <v>80</v>
      </c>
      <c r="I11" s="499"/>
      <c r="J11" s="499"/>
      <c r="K11" s="499"/>
      <c r="L11" s="500">
        <f t="shared" si="1"/>
        <v>7.1717932780024336</v>
      </c>
      <c r="M11" s="500"/>
      <c r="N11" s="500"/>
      <c r="O11" s="500"/>
      <c r="P11" s="501">
        <v>15</v>
      </c>
      <c r="Q11" s="487"/>
      <c r="R11" s="487"/>
      <c r="S11" s="487"/>
      <c r="T11" s="484">
        <f t="shared" si="2"/>
        <v>13140</v>
      </c>
      <c r="U11" s="484"/>
      <c r="V11" s="484"/>
      <c r="W11" s="485"/>
      <c r="X11" s="569"/>
      <c r="Y11" s="487"/>
      <c r="Z11" s="487"/>
      <c r="AA11" s="487"/>
      <c r="AB11" s="487"/>
      <c r="AC11" s="487"/>
      <c r="AD11" s="488"/>
      <c r="AE11" s="3"/>
      <c r="AF11" s="566">
        <f t="shared" ref="AF11:AF16" si="10">IF(AW11=0,"",(22120*EXP(((-7.76451)*(1-(H11+273.15)/647.3)+1.45838*(1-(H11+273.15)/647.3)^1.5+(-2.7758)*(1-(H11+273.15)/647.3)^3+(-1.23303)*(1-(H11+273.15)/647.3)^6)/(1-(1-(H11+273.15)/647.3))))*L11/100)</f>
        <v>3.3988220636336628</v>
      </c>
      <c r="AG11" s="567"/>
      <c r="AH11" s="567"/>
      <c r="AI11" s="567"/>
      <c r="AJ11" s="568"/>
      <c r="AK11" s="583">
        <f t="shared" ref="AK11:AK16" si="11">IF(AX11=0,"",$Q$37*(($G$26/L11)^$G$31*EXP(($B$31/0.00008617)*(1/(H11+273.15)-1/($B$26+273.15))))+$Q$38*(($Q$26/AF11)^$L$31))</f>
        <v>209.22802020822894</v>
      </c>
      <c r="AL11" s="584"/>
      <c r="AM11" s="584"/>
      <c r="AN11" s="584"/>
      <c r="AO11" s="585"/>
      <c r="AP11" s="586">
        <f t="shared" ref="AP11:AP16" si="12">IF(AY11=0,"",T11/AK11)</f>
        <v>62.802295729428323</v>
      </c>
      <c r="AQ11" s="587"/>
      <c r="AR11" s="587"/>
      <c r="AS11" s="587"/>
      <c r="AT11" s="588"/>
      <c r="AU11" s="122">
        <f t="shared" si="3"/>
        <v>1</v>
      </c>
      <c r="AV11" s="32">
        <f t="shared" si="4"/>
        <v>1</v>
      </c>
      <c r="AW11" s="1">
        <f t="shared" si="0"/>
        <v>1</v>
      </c>
      <c r="AX11" s="1">
        <f t="shared" ref="AX11:AX16" si="13">IF(AF11="",0,1)*IF($B$26="",0,1)*IF($G$26="",0,1)*($Q$37*IF($B$31="",0,1)*IF($G$31="",0,1)+$Q$38*IF($L$31="",0,1))</f>
        <v>1</v>
      </c>
      <c r="AY11" s="1">
        <f t="shared" ref="AY11:AY16" si="14">IF(T11="",0,1)*IF(AK11="",0,1)</f>
        <v>1</v>
      </c>
      <c r="AZ11" s="1">
        <f t="shared" ref="AZ11:AZ16" si="15">IF(AW11=0,"",(22120*EXP(((-7.76451)*(1-($B$7+273.15)/647.3)+1.45838*(1-($B$7+273.15)/647.3)^1.5+(-2.7758)*(1-($B$7+273.15)/647.3)^3+(-1.23303)*(1-($B$7+273.15)/647.3)^6)/(1-(1-($B$7+273.15)/647.3))))*$E$7/100)</f>
        <v>3.3988503736343372</v>
      </c>
      <c r="BA11" s="1">
        <f t="shared" ref="BA11:BA16" si="16">AZ11/(22120*EXP(((-7.7645)*(1-(H11+273.15)/647.3)+1.45838*(1-(H11+273.15)/647.3)^1.5+(-2.7758)*(1-(H11+273.15)/647.3)^3+(-1.23303)*(1-(H11+273.15)/647.3)^6)/(1-(1-(H11+273.15)/647.3))))*100</f>
        <v>7.1717932780024336</v>
      </c>
      <c r="BG11" s="1"/>
      <c r="BH11" s="1">
        <f t="shared" si="8"/>
        <v>3000</v>
      </c>
      <c r="BI11" s="1">
        <f t="shared" si="5"/>
        <v>10800000</v>
      </c>
      <c r="BJ11" s="1">
        <f t="shared" si="6"/>
        <v>4.3048704509774392E-287</v>
      </c>
      <c r="BK11" s="1">
        <f t="shared" si="7"/>
        <v>1</v>
      </c>
      <c r="BL11" s="1">
        <f t="shared" si="9"/>
        <v>0</v>
      </c>
    </row>
    <row r="12" spans="1:64" ht="11" customHeight="1">
      <c r="A12" s="3"/>
      <c r="B12" s="528"/>
      <c r="C12" s="529"/>
      <c r="D12" s="530"/>
      <c r="E12" s="536"/>
      <c r="F12" s="529"/>
      <c r="G12" s="537"/>
      <c r="H12" s="498"/>
      <c r="I12" s="499"/>
      <c r="J12" s="499"/>
      <c r="K12" s="499"/>
      <c r="L12" s="500" t="str">
        <f t="shared" si="1"/>
        <v/>
      </c>
      <c r="M12" s="500"/>
      <c r="N12" s="500"/>
      <c r="O12" s="500"/>
      <c r="P12" s="501"/>
      <c r="Q12" s="487"/>
      <c r="R12" s="487"/>
      <c r="S12" s="487"/>
      <c r="T12" s="484" t="str">
        <f t="shared" si="2"/>
        <v/>
      </c>
      <c r="U12" s="484"/>
      <c r="V12" s="484"/>
      <c r="W12" s="485"/>
      <c r="X12" s="569"/>
      <c r="Y12" s="487"/>
      <c r="Z12" s="487"/>
      <c r="AA12" s="487"/>
      <c r="AB12" s="487"/>
      <c r="AC12" s="487"/>
      <c r="AD12" s="488"/>
      <c r="AE12" s="3"/>
      <c r="AF12" s="566" t="str">
        <f t="shared" si="10"/>
        <v/>
      </c>
      <c r="AG12" s="567"/>
      <c r="AH12" s="567"/>
      <c r="AI12" s="567"/>
      <c r="AJ12" s="568"/>
      <c r="AK12" s="583" t="str">
        <f t="shared" si="11"/>
        <v/>
      </c>
      <c r="AL12" s="584"/>
      <c r="AM12" s="584"/>
      <c r="AN12" s="584"/>
      <c r="AO12" s="585"/>
      <c r="AP12" s="586" t="str">
        <f t="shared" si="12"/>
        <v/>
      </c>
      <c r="AQ12" s="587"/>
      <c r="AR12" s="587"/>
      <c r="AS12" s="587"/>
      <c r="AT12" s="588"/>
      <c r="AU12" s="122">
        <f t="shared" si="3"/>
        <v>0</v>
      </c>
      <c r="AV12" s="32">
        <f t="shared" si="4"/>
        <v>0</v>
      </c>
      <c r="AW12" s="1">
        <f t="shared" si="0"/>
        <v>0</v>
      </c>
      <c r="AX12" s="1">
        <f t="shared" si="13"/>
        <v>0</v>
      </c>
      <c r="AY12" s="1">
        <f t="shared" si="14"/>
        <v>0</v>
      </c>
      <c r="AZ12" s="1" t="str">
        <f t="shared" si="15"/>
        <v/>
      </c>
      <c r="BA12" s="1" t="e">
        <f t="shared" si="16"/>
        <v>#VALUE!</v>
      </c>
      <c r="BG12" s="1"/>
      <c r="BH12" s="1">
        <f t="shared" si="8"/>
        <v>4000</v>
      </c>
      <c r="BI12" s="1">
        <f t="shared" si="5"/>
        <v>14400000</v>
      </c>
      <c r="BJ12" s="1">
        <f t="shared" si="6"/>
        <v>0</v>
      </c>
      <c r="BK12" s="1">
        <f t="shared" si="7"/>
        <v>1</v>
      </c>
      <c r="BL12" s="1">
        <f t="shared" si="9"/>
        <v>0</v>
      </c>
    </row>
    <row r="13" spans="1:64" ht="11" customHeight="1">
      <c r="A13" s="3"/>
      <c r="B13" s="528"/>
      <c r="C13" s="529"/>
      <c r="D13" s="530"/>
      <c r="E13" s="536"/>
      <c r="F13" s="529"/>
      <c r="G13" s="537"/>
      <c r="H13" s="498"/>
      <c r="I13" s="499"/>
      <c r="J13" s="499"/>
      <c r="K13" s="499"/>
      <c r="L13" s="500" t="str">
        <f t="shared" si="1"/>
        <v/>
      </c>
      <c r="M13" s="500"/>
      <c r="N13" s="500"/>
      <c r="O13" s="500"/>
      <c r="P13" s="501"/>
      <c r="Q13" s="487"/>
      <c r="R13" s="487"/>
      <c r="S13" s="487"/>
      <c r="T13" s="484" t="str">
        <f t="shared" si="2"/>
        <v/>
      </c>
      <c r="U13" s="484"/>
      <c r="V13" s="484"/>
      <c r="W13" s="485"/>
      <c r="X13" s="569"/>
      <c r="Y13" s="487"/>
      <c r="Z13" s="487"/>
      <c r="AA13" s="487"/>
      <c r="AB13" s="487"/>
      <c r="AC13" s="487"/>
      <c r="AD13" s="488"/>
      <c r="AE13" s="3"/>
      <c r="AF13" s="566" t="str">
        <f t="shared" si="10"/>
        <v/>
      </c>
      <c r="AG13" s="567"/>
      <c r="AH13" s="567"/>
      <c r="AI13" s="567"/>
      <c r="AJ13" s="568"/>
      <c r="AK13" s="583" t="str">
        <f t="shared" si="11"/>
        <v/>
      </c>
      <c r="AL13" s="584"/>
      <c r="AM13" s="584"/>
      <c r="AN13" s="584"/>
      <c r="AO13" s="585"/>
      <c r="AP13" s="586" t="str">
        <f t="shared" si="12"/>
        <v/>
      </c>
      <c r="AQ13" s="587"/>
      <c r="AR13" s="587"/>
      <c r="AS13" s="587"/>
      <c r="AT13" s="588"/>
      <c r="AU13" s="122">
        <f t="shared" si="3"/>
        <v>0</v>
      </c>
      <c r="AV13" s="32">
        <f t="shared" si="4"/>
        <v>0</v>
      </c>
      <c r="AW13" s="1">
        <f t="shared" si="0"/>
        <v>0</v>
      </c>
      <c r="AX13" s="1">
        <f t="shared" si="13"/>
        <v>0</v>
      </c>
      <c r="AY13" s="1">
        <f t="shared" si="14"/>
        <v>0</v>
      </c>
      <c r="AZ13" s="1" t="str">
        <f t="shared" si="15"/>
        <v/>
      </c>
      <c r="BA13" s="1" t="e">
        <f t="shared" si="16"/>
        <v>#VALUE!</v>
      </c>
      <c r="BG13" s="1"/>
      <c r="BH13" s="1">
        <f t="shared" si="8"/>
        <v>5000</v>
      </c>
      <c r="BI13" s="1">
        <f t="shared" si="5"/>
        <v>18000000</v>
      </c>
      <c r="BJ13" s="1">
        <f t="shared" si="6"/>
        <v>0</v>
      </c>
      <c r="BK13" s="1">
        <f t="shared" si="7"/>
        <v>1</v>
      </c>
      <c r="BL13" s="1">
        <f t="shared" si="9"/>
        <v>0</v>
      </c>
    </row>
    <row r="14" spans="1:64" ht="11" customHeight="1">
      <c r="A14" s="3"/>
      <c r="B14" s="528"/>
      <c r="C14" s="529"/>
      <c r="D14" s="530"/>
      <c r="E14" s="536"/>
      <c r="F14" s="529"/>
      <c r="G14" s="537"/>
      <c r="H14" s="498"/>
      <c r="I14" s="499"/>
      <c r="J14" s="499"/>
      <c r="K14" s="499"/>
      <c r="L14" s="500" t="str">
        <f>IF(AU14=0,"",IF(BA14&gt;100,100,BA14))</f>
        <v/>
      </c>
      <c r="M14" s="500"/>
      <c r="N14" s="500"/>
      <c r="O14" s="500"/>
      <c r="P14" s="501"/>
      <c r="Q14" s="540"/>
      <c r="R14" s="540"/>
      <c r="S14" s="540"/>
      <c r="T14" s="484" t="str">
        <f t="shared" si="2"/>
        <v/>
      </c>
      <c r="U14" s="484"/>
      <c r="V14" s="484"/>
      <c r="W14" s="485"/>
      <c r="X14" s="569"/>
      <c r="Y14" s="487"/>
      <c r="Z14" s="487"/>
      <c r="AA14" s="487"/>
      <c r="AB14" s="487"/>
      <c r="AC14" s="487"/>
      <c r="AD14" s="488"/>
      <c r="AE14" s="3"/>
      <c r="AF14" s="566" t="str">
        <f t="shared" si="10"/>
        <v/>
      </c>
      <c r="AG14" s="567"/>
      <c r="AH14" s="567"/>
      <c r="AI14" s="567"/>
      <c r="AJ14" s="568"/>
      <c r="AK14" s="583" t="str">
        <f t="shared" si="11"/>
        <v/>
      </c>
      <c r="AL14" s="584"/>
      <c r="AM14" s="584"/>
      <c r="AN14" s="584"/>
      <c r="AO14" s="585"/>
      <c r="AP14" s="586" t="str">
        <f t="shared" si="12"/>
        <v/>
      </c>
      <c r="AQ14" s="587"/>
      <c r="AR14" s="587"/>
      <c r="AS14" s="587"/>
      <c r="AT14" s="588"/>
      <c r="AU14" s="122">
        <f t="shared" si="3"/>
        <v>0</v>
      </c>
      <c r="AV14" s="32">
        <f t="shared" si="4"/>
        <v>0</v>
      </c>
      <c r="AW14" s="1">
        <f t="shared" si="0"/>
        <v>0</v>
      </c>
      <c r="AX14" s="1">
        <f t="shared" si="13"/>
        <v>0</v>
      </c>
      <c r="AY14" s="1">
        <f t="shared" si="14"/>
        <v>0</v>
      </c>
      <c r="AZ14" s="1" t="str">
        <f t="shared" si="15"/>
        <v/>
      </c>
      <c r="BA14" s="1" t="e">
        <f t="shared" si="16"/>
        <v>#VALUE!</v>
      </c>
      <c r="BG14" s="1"/>
      <c r="BH14" s="1">
        <f t="shared" si="8"/>
        <v>6000</v>
      </c>
      <c r="BI14" s="1">
        <f t="shared" si="5"/>
        <v>21600000</v>
      </c>
      <c r="BJ14" s="1">
        <f t="shared" si="6"/>
        <v>0</v>
      </c>
      <c r="BK14" s="1">
        <f t="shared" si="7"/>
        <v>1</v>
      </c>
      <c r="BL14" s="1">
        <f t="shared" si="9"/>
        <v>0</v>
      </c>
    </row>
    <row r="15" spans="1:64" ht="11" customHeight="1">
      <c r="A15" s="3"/>
      <c r="B15" s="528"/>
      <c r="C15" s="529"/>
      <c r="D15" s="530"/>
      <c r="E15" s="536"/>
      <c r="F15" s="529"/>
      <c r="G15" s="537"/>
      <c r="H15" s="498"/>
      <c r="I15" s="499"/>
      <c r="J15" s="499"/>
      <c r="K15" s="499"/>
      <c r="L15" s="500" t="str">
        <f t="shared" si="1"/>
        <v/>
      </c>
      <c r="M15" s="500"/>
      <c r="N15" s="500"/>
      <c r="O15" s="500"/>
      <c r="P15" s="501"/>
      <c r="Q15" s="540"/>
      <c r="R15" s="540"/>
      <c r="S15" s="540"/>
      <c r="T15" s="484" t="str">
        <f t="shared" si="2"/>
        <v/>
      </c>
      <c r="U15" s="484"/>
      <c r="V15" s="484"/>
      <c r="W15" s="485"/>
      <c r="X15" s="569"/>
      <c r="Y15" s="487"/>
      <c r="Z15" s="487"/>
      <c r="AA15" s="487"/>
      <c r="AB15" s="487"/>
      <c r="AC15" s="487"/>
      <c r="AD15" s="488"/>
      <c r="AE15" s="3"/>
      <c r="AF15" s="566" t="str">
        <f>IF(AW15=0,"",(22120*EXP(((-7.76451)*(1-(H15+273.15)/647.3)+1.45838*(1-(H15+273.15)/647.3)^1.5+(-2.7758)*(1-(H15+273.15)/647.3)^3+(-1.23303)*(1-(H15+273.15)/647.3)^6)/(1-(1-(H15+273.15)/647.3))))*L15/100)</f>
        <v/>
      </c>
      <c r="AG15" s="567"/>
      <c r="AH15" s="567"/>
      <c r="AI15" s="567"/>
      <c r="AJ15" s="568"/>
      <c r="AK15" s="583" t="str">
        <f t="shared" si="11"/>
        <v/>
      </c>
      <c r="AL15" s="584"/>
      <c r="AM15" s="584"/>
      <c r="AN15" s="584"/>
      <c r="AO15" s="585"/>
      <c r="AP15" s="586" t="str">
        <f t="shared" si="12"/>
        <v/>
      </c>
      <c r="AQ15" s="587"/>
      <c r="AR15" s="587"/>
      <c r="AS15" s="587"/>
      <c r="AT15" s="588"/>
      <c r="AU15" s="122">
        <f t="shared" si="3"/>
        <v>0</v>
      </c>
      <c r="AV15" s="32">
        <f t="shared" si="4"/>
        <v>0</v>
      </c>
      <c r="AW15" s="1">
        <f t="shared" si="0"/>
        <v>0</v>
      </c>
      <c r="AX15" s="1">
        <f t="shared" si="13"/>
        <v>0</v>
      </c>
      <c r="AY15" s="1">
        <f t="shared" si="14"/>
        <v>0</v>
      </c>
      <c r="AZ15" s="1" t="str">
        <f t="shared" si="15"/>
        <v/>
      </c>
      <c r="BA15" s="1" t="e">
        <f t="shared" si="16"/>
        <v>#VALUE!</v>
      </c>
      <c r="BG15" s="1"/>
      <c r="BH15" s="1">
        <f t="shared" si="8"/>
        <v>7000</v>
      </c>
      <c r="BI15" s="1">
        <f t="shared" si="5"/>
        <v>25200000</v>
      </c>
      <c r="BJ15" s="1">
        <f t="shared" si="6"/>
        <v>0</v>
      </c>
      <c r="BK15" s="1">
        <f t="shared" si="7"/>
        <v>1</v>
      </c>
      <c r="BL15" s="1">
        <f t="shared" si="9"/>
        <v>0</v>
      </c>
    </row>
    <row r="16" spans="1:64" ht="11" customHeight="1" thickBot="1">
      <c r="A16" s="3"/>
      <c r="B16" s="531"/>
      <c r="C16" s="532"/>
      <c r="D16" s="533"/>
      <c r="E16" s="538"/>
      <c r="F16" s="532"/>
      <c r="G16" s="539"/>
      <c r="H16" s="520"/>
      <c r="I16" s="521"/>
      <c r="J16" s="521"/>
      <c r="K16" s="521"/>
      <c r="L16" s="500" t="str">
        <f t="shared" si="1"/>
        <v/>
      </c>
      <c r="M16" s="500"/>
      <c r="N16" s="500"/>
      <c r="O16" s="500"/>
      <c r="P16" s="641"/>
      <c r="Q16" s="642"/>
      <c r="R16" s="642"/>
      <c r="S16" s="642"/>
      <c r="T16" s="484" t="str">
        <f t="shared" si="2"/>
        <v/>
      </c>
      <c r="U16" s="484"/>
      <c r="V16" s="484"/>
      <c r="W16" s="485"/>
      <c r="X16" s="658"/>
      <c r="Y16" s="492"/>
      <c r="Z16" s="492"/>
      <c r="AA16" s="492"/>
      <c r="AB16" s="492"/>
      <c r="AC16" s="492"/>
      <c r="AD16" s="493"/>
      <c r="AE16" s="3"/>
      <c r="AF16" s="593" t="str">
        <f t="shared" si="10"/>
        <v/>
      </c>
      <c r="AG16" s="594"/>
      <c r="AH16" s="594"/>
      <c r="AI16" s="594"/>
      <c r="AJ16" s="595"/>
      <c r="AK16" s="596" t="str">
        <f t="shared" si="11"/>
        <v/>
      </c>
      <c r="AL16" s="597"/>
      <c r="AM16" s="597"/>
      <c r="AN16" s="597"/>
      <c r="AO16" s="598"/>
      <c r="AP16" s="599" t="str">
        <f t="shared" si="12"/>
        <v/>
      </c>
      <c r="AQ16" s="600"/>
      <c r="AR16" s="600"/>
      <c r="AS16" s="600"/>
      <c r="AT16" s="601"/>
      <c r="AU16" s="122">
        <f t="shared" si="3"/>
        <v>0</v>
      </c>
      <c r="AV16" s="32">
        <f t="shared" si="4"/>
        <v>0</v>
      </c>
      <c r="AW16" s="1">
        <f t="shared" si="0"/>
        <v>0</v>
      </c>
      <c r="AX16" s="1">
        <f t="shared" si="13"/>
        <v>0</v>
      </c>
      <c r="AY16" s="1">
        <f t="shared" si="14"/>
        <v>0</v>
      </c>
      <c r="AZ16" s="1" t="str">
        <f t="shared" si="15"/>
        <v/>
      </c>
      <c r="BA16" s="1" t="e">
        <f t="shared" si="16"/>
        <v>#VALUE!</v>
      </c>
      <c r="BG16" s="1"/>
      <c r="BH16" s="1">
        <f t="shared" si="8"/>
        <v>8000</v>
      </c>
      <c r="BI16" s="1">
        <f t="shared" si="5"/>
        <v>28800000</v>
      </c>
      <c r="BJ16" s="1">
        <f t="shared" si="6"/>
        <v>0</v>
      </c>
      <c r="BK16" s="1">
        <f t="shared" si="7"/>
        <v>1</v>
      </c>
      <c r="BL16" s="1">
        <f t="shared" si="9"/>
        <v>0</v>
      </c>
    </row>
    <row r="17" spans="2:64" ht="12" customHeight="1" thickBot="1">
      <c r="L17" s="557" t="s">
        <v>2</v>
      </c>
      <c r="M17" s="558"/>
      <c r="N17" s="558"/>
      <c r="O17" s="559"/>
      <c r="P17" s="562">
        <f>SUM(P7:S16)</f>
        <v>100</v>
      </c>
      <c r="Q17" s="563"/>
      <c r="R17" s="560" t="s">
        <v>69</v>
      </c>
      <c r="S17" s="561"/>
      <c r="T17" s="564">
        <f>SUM(T7:W16)</f>
        <v>87600</v>
      </c>
      <c r="U17" s="565"/>
      <c r="V17" s="565"/>
      <c r="W17" s="123" t="s">
        <v>146</v>
      </c>
      <c r="AK17" s="590" t="s">
        <v>48</v>
      </c>
      <c r="AL17" s="591"/>
      <c r="AM17" s="591"/>
      <c r="AN17" s="591"/>
      <c r="AO17" s="591"/>
      <c r="AP17" s="478">
        <f>SUM(AP7:AT16)</f>
        <v>418.68084703143381</v>
      </c>
      <c r="AQ17" s="479"/>
      <c r="AR17" s="479"/>
      <c r="AS17" s="479"/>
      <c r="AT17" s="480"/>
      <c r="AU17" s="92"/>
      <c r="AV17" s="92"/>
      <c r="AW17" s="4"/>
      <c r="AX17" s="4"/>
      <c r="BG17" s="1"/>
      <c r="BH17" s="1">
        <f t="shared" si="8"/>
        <v>9000</v>
      </c>
      <c r="BI17" s="1">
        <f t="shared" si="5"/>
        <v>32400000</v>
      </c>
      <c r="BJ17" s="1">
        <f t="shared" si="6"/>
        <v>0</v>
      </c>
      <c r="BK17" s="1">
        <f t="shared" si="7"/>
        <v>1</v>
      </c>
      <c r="BL17" s="1">
        <f t="shared" si="9"/>
        <v>0</v>
      </c>
    </row>
    <row r="18" spans="2:64" ht="5" customHeight="1" thickBot="1">
      <c r="BG18" s="1"/>
    </row>
    <row r="19" spans="2:64" ht="12" customHeight="1" thickBot="1">
      <c r="B19" s="582" t="s">
        <v>129</v>
      </c>
      <c r="C19" s="519"/>
      <c r="D19" s="519"/>
      <c r="E19" s="519"/>
      <c r="F19" s="519"/>
      <c r="G19" s="519"/>
      <c r="H19" s="519"/>
      <c r="I19" s="519"/>
      <c r="J19" s="519"/>
      <c r="K19" s="385" t="s">
        <v>169</v>
      </c>
      <c r="L19" s="385"/>
      <c r="M19" s="385"/>
      <c r="N19" s="385"/>
      <c r="O19" s="385"/>
      <c r="P19" s="385"/>
      <c r="Q19" s="385"/>
      <c r="R19" s="385"/>
      <c r="S19" s="385"/>
      <c r="T19" s="385"/>
      <c r="U19" s="386"/>
      <c r="BG19" s="1"/>
    </row>
    <row r="20" spans="2:64" ht="12" customHeight="1" thickBot="1">
      <c r="B20" s="623" t="s">
        <v>123</v>
      </c>
      <c r="C20" s="624"/>
      <c r="D20" s="624"/>
      <c r="E20" s="624"/>
      <c r="F20" s="624"/>
      <c r="G20" s="624"/>
      <c r="H20" s="624"/>
      <c r="I20" s="624"/>
      <c r="J20" s="624"/>
      <c r="K20" s="624"/>
      <c r="L20" s="624"/>
      <c r="M20" s="624"/>
      <c r="N20" s="624"/>
      <c r="O20" s="624"/>
      <c r="P20" s="624"/>
      <c r="Q20" s="624"/>
      <c r="R20" s="624"/>
      <c r="S20" s="624"/>
      <c r="T20" s="624"/>
      <c r="U20" s="625"/>
      <c r="X20" s="592" t="s">
        <v>120</v>
      </c>
      <c r="Y20" s="225"/>
      <c r="Z20" s="225"/>
      <c r="AA20" s="225"/>
      <c r="AB20" s="225"/>
      <c r="AC20" s="225"/>
      <c r="AD20" s="225"/>
      <c r="AE20" s="225"/>
      <c r="AF20" s="225"/>
      <c r="AG20" s="225"/>
      <c r="AH20" s="225"/>
      <c r="AI20" s="225"/>
      <c r="AJ20" s="226"/>
      <c r="AL20" s="463" t="s">
        <v>121</v>
      </c>
      <c r="AM20" s="464"/>
      <c r="AN20" s="464"/>
      <c r="AO20" s="464"/>
      <c r="AP20" s="464"/>
      <c r="AQ20" s="464"/>
      <c r="AR20" s="464"/>
      <c r="AS20" s="464"/>
      <c r="AT20" s="465"/>
      <c r="BG20" s="1" t="s">
        <v>162</v>
      </c>
      <c r="BH20" s="1">
        <f>BL17</f>
        <v>0</v>
      </c>
      <c r="BI20" s="1">
        <f t="shared" si="5"/>
        <v>0</v>
      </c>
      <c r="BL20" s="1">
        <f>BL17</f>
        <v>0</v>
      </c>
    </row>
    <row r="21" spans="2:64" ht="12" customHeight="1" thickBot="1">
      <c r="B21" s="626" t="s">
        <v>66</v>
      </c>
      <c r="C21" s="627"/>
      <c r="D21" s="627"/>
      <c r="E21" s="627"/>
      <c r="F21" s="628"/>
      <c r="G21" s="629" t="s">
        <v>49</v>
      </c>
      <c r="H21" s="630"/>
      <c r="I21" s="630"/>
      <c r="J21" s="630"/>
      <c r="K21" s="631"/>
      <c r="L21" s="629" t="s">
        <v>93</v>
      </c>
      <c r="M21" s="630"/>
      <c r="N21" s="630"/>
      <c r="O21" s="630"/>
      <c r="P21" s="631"/>
      <c r="Q21" s="620"/>
      <c r="R21" s="621"/>
      <c r="S21" s="621"/>
      <c r="T21" s="621"/>
      <c r="U21" s="622"/>
      <c r="X21" s="398"/>
      <c r="Y21" s="233"/>
      <c r="Z21" s="233"/>
      <c r="AA21" s="233"/>
      <c r="AB21" s="233"/>
      <c r="AC21" s="233"/>
      <c r="AD21" s="233"/>
      <c r="AE21" s="233"/>
      <c r="AF21" s="233"/>
      <c r="AG21" s="233"/>
      <c r="AH21" s="233"/>
      <c r="AI21" s="233"/>
      <c r="AJ21" s="234"/>
      <c r="AL21" s="515"/>
      <c r="AM21" s="516"/>
      <c r="AN21" s="516"/>
      <c r="AO21" s="516"/>
      <c r="AP21" s="516"/>
      <c r="AQ21" s="516"/>
      <c r="AR21" s="516"/>
      <c r="AS21" s="516"/>
      <c r="AT21" s="517"/>
      <c r="BG21" s="1"/>
      <c r="BH21" s="1">
        <f>BH20+100</f>
        <v>100</v>
      </c>
      <c r="BI21" s="1">
        <f t="shared" si="5"/>
        <v>360000</v>
      </c>
      <c r="BJ21" s="1">
        <f t="shared" si="6"/>
        <v>2.8475105133202295E-10</v>
      </c>
      <c r="BK21" s="1">
        <f t="shared" si="7"/>
        <v>0.99999999963744335</v>
      </c>
      <c r="BL21" s="1">
        <f t="shared" si="9"/>
        <v>0</v>
      </c>
    </row>
    <row r="22" spans="2:64" ht="12" customHeight="1" thickBot="1">
      <c r="B22" s="406">
        <v>1.5</v>
      </c>
      <c r="C22" s="407"/>
      <c r="D22" s="408" t="str">
        <f>IF(Q41=1,"(PKG)",(IF(Q42=1,"(Resin)","(NA)")))</f>
        <v>(PKG)</v>
      </c>
      <c r="E22" s="409"/>
      <c r="F22" s="410"/>
      <c r="G22" s="382">
        <v>0.75</v>
      </c>
      <c r="H22" s="383"/>
      <c r="I22" s="383"/>
      <c r="J22" s="383"/>
      <c r="K22" s="387"/>
      <c r="L22" s="382">
        <v>0.35</v>
      </c>
      <c r="M22" s="383"/>
      <c r="N22" s="383"/>
      <c r="O22" s="383"/>
      <c r="P22" s="387"/>
      <c r="Q22" s="632"/>
      <c r="R22" s="633"/>
      <c r="S22" s="633"/>
      <c r="T22" s="633"/>
      <c r="U22" s="634"/>
      <c r="X22" s="399">
        <f>AP17+IF(AL22="-",0,AL22)</f>
        <v>430.28084703143384</v>
      </c>
      <c r="Y22" s="565"/>
      <c r="Z22" s="565"/>
      <c r="AA22" s="565"/>
      <c r="AB22" s="565"/>
      <c r="AC22" s="565"/>
      <c r="AD22" s="565"/>
      <c r="AE22" s="565"/>
      <c r="AF22" s="565"/>
      <c r="AG22" s="565"/>
      <c r="AH22" s="565"/>
      <c r="AI22" s="565"/>
      <c r="AJ22" s="589"/>
      <c r="AL22" s="379">
        <f>IF(Q43=1,"-",IF(BL76&gt;=10000,"Over 10000",BL76))</f>
        <v>11.6</v>
      </c>
      <c r="AM22" s="380"/>
      <c r="AN22" s="380"/>
      <c r="AO22" s="380"/>
      <c r="AP22" s="380"/>
      <c r="AQ22" s="380"/>
      <c r="AR22" s="380"/>
      <c r="AS22" s="380"/>
      <c r="AT22" s="381"/>
      <c r="BG22" s="125"/>
      <c r="BH22" s="1">
        <f t="shared" ref="BH22:BH29" si="17">BH21+100</f>
        <v>200</v>
      </c>
      <c r="BI22" s="1">
        <f t="shared" si="5"/>
        <v>720000</v>
      </c>
      <c r="BJ22" s="1">
        <f t="shared" si="6"/>
        <v>8.1083161234692361E-20</v>
      </c>
      <c r="BK22" s="1">
        <f t="shared" si="7"/>
        <v>1</v>
      </c>
      <c r="BL22" s="1">
        <f t="shared" si="9"/>
        <v>0</v>
      </c>
    </row>
    <row r="23" spans="2:64" ht="8" customHeight="1" thickBot="1">
      <c r="BG23" s="1"/>
      <c r="BH23" s="1">
        <f t="shared" si="17"/>
        <v>300</v>
      </c>
      <c r="BI23" s="1">
        <f t="shared" si="5"/>
        <v>1080000</v>
      </c>
      <c r="BJ23" s="1">
        <f t="shared" si="6"/>
        <v>2.3088515406902495E-29</v>
      </c>
      <c r="BK23" s="1">
        <f t="shared" si="7"/>
        <v>1</v>
      </c>
      <c r="BL23" s="1">
        <f t="shared" si="9"/>
        <v>0</v>
      </c>
    </row>
    <row r="24" spans="2:64" ht="12" customHeight="1">
      <c r="B24" s="429" t="s">
        <v>131</v>
      </c>
      <c r="C24" s="430"/>
      <c r="D24" s="430"/>
      <c r="E24" s="430"/>
      <c r="F24" s="430"/>
      <c r="G24" s="430"/>
      <c r="H24" s="430"/>
      <c r="I24" s="430"/>
      <c r="J24" s="430"/>
      <c r="K24" s="430"/>
      <c r="L24" s="430"/>
      <c r="M24" s="430"/>
      <c r="N24" s="430"/>
      <c r="O24" s="430"/>
      <c r="P24" s="430"/>
      <c r="Q24" s="430"/>
      <c r="R24" s="430"/>
      <c r="S24" s="430"/>
      <c r="T24" s="430"/>
      <c r="U24" s="431"/>
      <c r="X24" s="374" t="s">
        <v>126</v>
      </c>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5"/>
      <c r="BG24" s="1"/>
      <c r="BH24" s="1">
        <f t="shared" si="17"/>
        <v>400</v>
      </c>
      <c r="BI24" s="1">
        <f t="shared" si="5"/>
        <v>1440000</v>
      </c>
      <c r="BJ24" s="1">
        <f t="shared" si="6"/>
        <v>6.5744790358111188E-39</v>
      </c>
      <c r="BK24" s="1">
        <f t="shared" si="7"/>
        <v>1</v>
      </c>
      <c r="BL24" s="1">
        <f t="shared" si="9"/>
        <v>0</v>
      </c>
    </row>
    <row r="25" spans="2:64" ht="12" customHeight="1">
      <c r="B25" s="573" t="s">
        <v>20</v>
      </c>
      <c r="C25" s="574"/>
      <c r="D25" s="574"/>
      <c r="E25" s="574"/>
      <c r="F25" s="575"/>
      <c r="G25" s="614" t="s">
        <v>21</v>
      </c>
      <c r="H25" s="615"/>
      <c r="I25" s="615"/>
      <c r="J25" s="615"/>
      <c r="K25" s="616"/>
      <c r="L25" s="614"/>
      <c r="M25" s="615"/>
      <c r="N25" s="615"/>
      <c r="O25" s="615"/>
      <c r="P25" s="616"/>
      <c r="Q25" s="617" t="s">
        <v>22</v>
      </c>
      <c r="R25" s="618"/>
      <c r="S25" s="618"/>
      <c r="T25" s="618"/>
      <c r="U25" s="619"/>
      <c r="X25" s="375" t="s">
        <v>130</v>
      </c>
      <c r="Y25" s="376"/>
      <c r="Z25" s="376"/>
      <c r="AA25" s="376"/>
      <c r="AB25" s="376"/>
      <c r="AC25" s="376"/>
      <c r="AD25" s="376"/>
      <c r="AE25" s="376"/>
      <c r="AF25" s="376"/>
      <c r="AG25" s="376"/>
      <c r="AH25" s="376"/>
      <c r="AI25" s="376"/>
      <c r="AJ25" s="376"/>
      <c r="AK25" s="376"/>
      <c r="AL25" s="376"/>
      <c r="AM25" s="376"/>
      <c r="AN25" s="376"/>
      <c r="AO25" s="376"/>
      <c r="AP25" s="376"/>
      <c r="AQ25" s="376"/>
      <c r="AR25" s="376"/>
      <c r="AS25" s="376"/>
      <c r="AT25" s="377"/>
      <c r="AV25" s="4"/>
      <c r="BG25" s="1"/>
      <c r="BH25" s="1">
        <f t="shared" si="17"/>
        <v>500</v>
      </c>
      <c r="BI25" s="1">
        <f t="shared" si="5"/>
        <v>1800000</v>
      </c>
      <c r="BJ25" s="1">
        <f t="shared" si="6"/>
        <v>1.872089817407567E-48</v>
      </c>
      <c r="BK25" s="1">
        <f t="shared" si="7"/>
        <v>1</v>
      </c>
      <c r="BL25" s="1">
        <f t="shared" si="9"/>
        <v>0</v>
      </c>
    </row>
    <row r="26" spans="2:64" ht="12" customHeight="1" thickBot="1">
      <c r="B26" s="456">
        <v>85</v>
      </c>
      <c r="C26" s="383"/>
      <c r="D26" s="383"/>
      <c r="E26" s="383"/>
      <c r="F26" s="387"/>
      <c r="G26" s="382">
        <v>85</v>
      </c>
      <c r="H26" s="383"/>
      <c r="I26" s="383"/>
      <c r="J26" s="383"/>
      <c r="K26" s="387"/>
      <c r="L26" s="576"/>
      <c r="M26" s="577"/>
      <c r="N26" s="577"/>
      <c r="O26" s="577"/>
      <c r="P26" s="578"/>
      <c r="Q26" s="388">
        <f>(22120*EXP(((-7.76451)*(1-(B26+273.15)/647.3)+1.45838*(1-(B26+273.15)/647.3)^1.5+(-2.7758)*(1-(B26+273.15)/647.3)^3+(-1.23303)*(1-(B26+273.15)/647.3)^6)/(1-(1-(B26+273.15)/647.3))))*G26/100</f>
        <v>49.162997206434511</v>
      </c>
      <c r="R26" s="389"/>
      <c r="S26" s="389"/>
      <c r="T26" s="389"/>
      <c r="U26" s="390"/>
      <c r="X26" s="378"/>
      <c r="Y26" s="376"/>
      <c r="Z26" s="376"/>
      <c r="AA26" s="376"/>
      <c r="AB26" s="376"/>
      <c r="AC26" s="376"/>
      <c r="AD26" s="376"/>
      <c r="AE26" s="376"/>
      <c r="AF26" s="376"/>
      <c r="AG26" s="376"/>
      <c r="AH26" s="376"/>
      <c r="AI26" s="376"/>
      <c r="AJ26" s="376"/>
      <c r="AK26" s="376"/>
      <c r="AL26" s="376"/>
      <c r="AM26" s="376"/>
      <c r="AN26" s="376"/>
      <c r="AO26" s="376"/>
      <c r="AP26" s="376"/>
      <c r="AQ26" s="376"/>
      <c r="AR26" s="376"/>
      <c r="AS26" s="376"/>
      <c r="AT26" s="377"/>
      <c r="BG26" s="1"/>
      <c r="BH26" s="1">
        <f t="shared" si="17"/>
        <v>600</v>
      </c>
      <c r="BI26" s="1">
        <f t="shared" si="5"/>
        <v>2160000</v>
      </c>
      <c r="BJ26" s="1">
        <f t="shared" si="6"/>
        <v>5.3307954369477391E-58</v>
      </c>
      <c r="BK26" s="1">
        <f t="shared" si="7"/>
        <v>1</v>
      </c>
      <c r="BL26" s="1">
        <f t="shared" si="9"/>
        <v>0</v>
      </c>
    </row>
    <row r="27" spans="2:64" ht="12" customHeight="1" thickBot="1">
      <c r="X27" s="100" t="str">
        <f>IF(AE327=0," * This sheet is not available, please see the top sheet.","")</f>
        <v xml:space="preserve"> * This sheet is not available, please see the top sheet.</v>
      </c>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4"/>
      <c r="AX27" s="1" ph="1"/>
      <c r="BG27" s="1"/>
      <c r="BH27" s="1">
        <f t="shared" si="17"/>
        <v>700</v>
      </c>
      <c r="BI27" s="1">
        <f t="shared" si="5"/>
        <v>2520000</v>
      </c>
      <c r="BJ27" s="1">
        <f t="shared" si="6"/>
        <v>1.5179496051068247E-67</v>
      </c>
      <c r="BK27" s="1">
        <f t="shared" si="7"/>
        <v>1</v>
      </c>
      <c r="BL27" s="1">
        <f t="shared" si="9"/>
        <v>0</v>
      </c>
    </row>
    <row r="28" spans="2:64" ht="12" customHeight="1">
      <c r="B28" s="579" t="s">
        <v>119</v>
      </c>
      <c r="C28" s="580"/>
      <c r="D28" s="580"/>
      <c r="E28" s="580"/>
      <c r="F28" s="580"/>
      <c r="G28" s="580"/>
      <c r="H28" s="580"/>
      <c r="I28" s="580"/>
      <c r="J28" s="580"/>
      <c r="K28" s="580"/>
      <c r="L28" s="580"/>
      <c r="M28" s="580"/>
      <c r="N28" s="580"/>
      <c r="O28" s="580"/>
      <c r="P28" s="580"/>
      <c r="Q28" s="580"/>
      <c r="R28" s="580"/>
      <c r="S28" s="580"/>
      <c r="T28" s="580"/>
      <c r="U28" s="581"/>
      <c r="V28" s="8"/>
      <c r="X28" s="26"/>
      <c r="Y28" s="437" t="s">
        <v>23</v>
      </c>
      <c r="Z28" s="438"/>
      <c r="AA28" s="438"/>
      <c r="AB28" s="439"/>
      <c r="AC28" s="192" t="s">
        <v>24</v>
      </c>
      <c r="AD28" s="391"/>
      <c r="AE28" s="391"/>
      <c r="AF28" s="392"/>
      <c r="AG28" s="192" t="s">
        <v>11</v>
      </c>
      <c r="AH28" s="391"/>
      <c r="AI28" s="391"/>
      <c r="AJ28" s="396"/>
      <c r="AK28" s="5"/>
      <c r="AL28" s="436" t="s">
        <v>24</v>
      </c>
      <c r="AM28" s="391"/>
      <c r="AN28" s="391"/>
      <c r="AO28" s="392"/>
      <c r="AP28" s="192" t="s">
        <v>11</v>
      </c>
      <c r="AQ28" s="391"/>
      <c r="AR28" s="391"/>
      <c r="AS28" s="396"/>
      <c r="AT28" s="27"/>
      <c r="BG28" s="1"/>
      <c r="BH28" s="1">
        <f t="shared" si="17"/>
        <v>800</v>
      </c>
      <c r="BI28" s="1">
        <f t="shared" si="5"/>
        <v>2880000</v>
      </c>
      <c r="BJ28" s="1">
        <f t="shared" si="6"/>
        <v>4.3223774592319894E-77</v>
      </c>
      <c r="BK28" s="1">
        <f t="shared" si="7"/>
        <v>1</v>
      </c>
      <c r="BL28" s="1">
        <f t="shared" si="9"/>
        <v>0</v>
      </c>
    </row>
    <row r="29" spans="2:64" ht="12" customHeight="1" thickBot="1">
      <c r="B29" s="570" t="s">
        <v>167</v>
      </c>
      <c r="C29" s="571"/>
      <c r="D29" s="571"/>
      <c r="E29" s="571"/>
      <c r="F29" s="571"/>
      <c r="G29" s="571"/>
      <c r="H29" s="571"/>
      <c r="I29" s="571"/>
      <c r="J29" s="571"/>
      <c r="K29" s="571"/>
      <c r="L29" s="571"/>
      <c r="M29" s="571"/>
      <c r="N29" s="571"/>
      <c r="O29" s="571"/>
      <c r="P29" s="571"/>
      <c r="Q29" s="571"/>
      <c r="R29" s="571"/>
      <c r="S29" s="571"/>
      <c r="T29" s="571"/>
      <c r="U29" s="572"/>
      <c r="V29" s="8"/>
      <c r="X29" s="26"/>
      <c r="Y29" s="440"/>
      <c r="Z29" s="441"/>
      <c r="AA29" s="441"/>
      <c r="AB29" s="442"/>
      <c r="AC29" s="393"/>
      <c r="AD29" s="394"/>
      <c r="AE29" s="394"/>
      <c r="AF29" s="395"/>
      <c r="AG29" s="393"/>
      <c r="AH29" s="394"/>
      <c r="AI29" s="394"/>
      <c r="AJ29" s="397"/>
      <c r="AK29" s="5"/>
      <c r="AL29" s="415"/>
      <c r="AM29" s="416"/>
      <c r="AN29" s="416"/>
      <c r="AO29" s="417"/>
      <c r="AP29" s="434"/>
      <c r="AQ29" s="416"/>
      <c r="AR29" s="416"/>
      <c r="AS29" s="435"/>
      <c r="AT29" s="27"/>
      <c r="BG29" s="1"/>
      <c r="BH29" s="1">
        <f t="shared" si="17"/>
        <v>900</v>
      </c>
      <c r="BI29" s="1">
        <f t="shared" si="5"/>
        <v>3240000</v>
      </c>
      <c r="BJ29" s="1">
        <f t="shared" si="6"/>
        <v>1.2308015257701165E-86</v>
      </c>
      <c r="BK29" s="1">
        <f t="shared" si="7"/>
        <v>1</v>
      </c>
      <c r="BL29" s="1">
        <f t="shared" si="9"/>
        <v>0</v>
      </c>
    </row>
    <row r="30" spans="2:64" ht="12" customHeight="1" thickBot="1">
      <c r="B30" s="612" t="s">
        <v>7</v>
      </c>
      <c r="C30" s="603"/>
      <c r="D30" s="603"/>
      <c r="E30" s="603"/>
      <c r="F30" s="604"/>
      <c r="G30" s="602" t="s">
        <v>38</v>
      </c>
      <c r="H30" s="603"/>
      <c r="I30" s="603"/>
      <c r="J30" s="603"/>
      <c r="K30" s="604"/>
      <c r="L30" s="602" t="s">
        <v>39</v>
      </c>
      <c r="M30" s="603"/>
      <c r="N30" s="603"/>
      <c r="O30" s="603"/>
      <c r="P30" s="604"/>
      <c r="Q30" s="602"/>
      <c r="R30" s="603"/>
      <c r="S30" s="603"/>
      <c r="T30" s="603"/>
      <c r="U30" s="613"/>
      <c r="V30" s="8"/>
      <c r="X30" s="26"/>
      <c r="Y30" s="218">
        <v>1</v>
      </c>
      <c r="Z30" s="219"/>
      <c r="AA30" s="219"/>
      <c r="AB30" s="219"/>
      <c r="AC30" s="446">
        <f>IF(Y30="","",IF($AV$30=0,"",ROUNDUP(LN(1-$P$35/100)/LN(1-Y30/100),0)))</f>
        <v>230</v>
      </c>
      <c r="AD30" s="447"/>
      <c r="AE30" s="447"/>
      <c r="AF30" s="447"/>
      <c r="AG30" s="215">
        <f>IF(Y30="","",IF($AV$30=0,"",ROUNDUP($X$22*((1/AC30)*LN(1-$P$35/100)/LN(1-$B$35/100))^(1/$I$35),0)))</f>
        <v>766</v>
      </c>
      <c r="AH30" s="216"/>
      <c r="AI30" s="216"/>
      <c r="AJ30" s="217"/>
      <c r="AK30" s="5"/>
      <c r="AL30" s="157">
        <v>45</v>
      </c>
      <c r="AM30" s="158"/>
      <c r="AN30" s="158"/>
      <c r="AO30" s="159"/>
      <c r="AP30" s="160">
        <f>IF(AL30="","",IF(AV30=0,"",ROUNDUP($X$22*(((1/$AL$30)*LN(1-$P$35/100))/LN(1-$B$35/100))^(1/$I$35),0)))</f>
        <v>1151</v>
      </c>
      <c r="AQ30" s="161"/>
      <c r="AR30" s="161"/>
      <c r="AS30" s="162"/>
      <c r="AT30" s="27"/>
      <c r="AV30" s="1">
        <f>IF(B35="",0,1)*IF(I35="",0,1)*IF(P35="",0,1)</f>
        <v>1</v>
      </c>
      <c r="BG30" s="1"/>
    </row>
    <row r="31" spans="2:64" ht="12" customHeight="1" thickBot="1">
      <c r="B31" s="611">
        <v>0.8</v>
      </c>
      <c r="C31" s="606"/>
      <c r="D31" s="606"/>
      <c r="E31" s="606"/>
      <c r="F31" s="607"/>
      <c r="G31" s="605">
        <v>3</v>
      </c>
      <c r="H31" s="606"/>
      <c r="I31" s="606"/>
      <c r="J31" s="606"/>
      <c r="K31" s="607"/>
      <c r="L31" s="605">
        <v>2</v>
      </c>
      <c r="M31" s="606"/>
      <c r="N31" s="606"/>
      <c r="O31" s="606"/>
      <c r="P31" s="607"/>
      <c r="Q31" s="608"/>
      <c r="R31" s="609"/>
      <c r="S31" s="609"/>
      <c r="T31" s="609"/>
      <c r="U31" s="610"/>
      <c r="X31" s="26"/>
      <c r="Y31" s="199">
        <v>2</v>
      </c>
      <c r="Z31" s="200"/>
      <c r="AA31" s="200"/>
      <c r="AB31" s="200"/>
      <c r="AC31" s="421">
        <f>IF(Y31="","",IF($AV$30=0,"",ROUNDUP(LN(1-$P$35/100)/LN(1-Y31/100),0)))</f>
        <v>114</v>
      </c>
      <c r="AD31" s="422"/>
      <c r="AE31" s="422"/>
      <c r="AF31" s="422"/>
      <c r="AG31" s="196">
        <f>IF(Y31="","",IF($AV$30=0,"",ROUNDUP($X$22*((1/AC31)*LN(1-$P$35/100)/LN(1-$B$35/100))^(1/$I$35),0)))</f>
        <v>913</v>
      </c>
      <c r="AH31" s="197"/>
      <c r="AI31" s="197"/>
      <c r="AJ31" s="198"/>
      <c r="AK31" s="5"/>
      <c r="AL31" s="7"/>
      <c r="AM31" s="7"/>
      <c r="AN31" s="7"/>
      <c r="AO31" s="7"/>
      <c r="AP31" s="7"/>
      <c r="AQ31" s="7"/>
      <c r="AR31" s="7"/>
      <c r="AS31" s="7"/>
      <c r="AT31" s="27"/>
      <c r="BG31" s="1" t="s">
        <v>163</v>
      </c>
      <c r="BH31" s="1">
        <f>BL29</f>
        <v>0</v>
      </c>
      <c r="BL31" s="1">
        <f>BL29</f>
        <v>0</v>
      </c>
    </row>
    <row r="32" spans="2:64" ht="12" customHeight="1" thickBot="1">
      <c r="X32" s="26"/>
      <c r="Y32" s="199">
        <v>5</v>
      </c>
      <c r="Z32" s="200"/>
      <c r="AA32" s="200"/>
      <c r="AB32" s="200"/>
      <c r="AC32" s="421">
        <f t="shared" ref="AC32:AC34" si="18">IF(Y32="","",IF($AV$30=0,"",ROUNDUP(LN(1-$P$35/100)/LN(1-Y32/100),0)))</f>
        <v>45</v>
      </c>
      <c r="AD32" s="422"/>
      <c r="AE32" s="422"/>
      <c r="AF32" s="422"/>
      <c r="AG32" s="196">
        <f t="shared" ref="AG32:AG34" si="19">IF(Y32="","",IF($AV$30=0,"",ROUNDUP($X$22*((1/AC32)*LN(1-$P$35/100)/LN(1-$B$35/100))^(1/$I$35),0)))</f>
        <v>1151</v>
      </c>
      <c r="AH32" s="197"/>
      <c r="AI32" s="197"/>
      <c r="AJ32" s="198"/>
      <c r="AK32" s="5"/>
      <c r="AL32" s="186" t="s">
        <v>11</v>
      </c>
      <c r="AM32" s="391"/>
      <c r="AN32" s="391"/>
      <c r="AO32" s="392"/>
      <c r="AP32" s="192" t="s">
        <v>24</v>
      </c>
      <c r="AQ32" s="391"/>
      <c r="AR32" s="391"/>
      <c r="AS32" s="396"/>
      <c r="AT32" s="27"/>
      <c r="BG32" s="1"/>
      <c r="BH32" s="1">
        <f>BH31+10</f>
        <v>10</v>
      </c>
      <c r="BI32" s="1">
        <f t="shared" si="5"/>
        <v>36000</v>
      </c>
      <c r="BJ32" s="1">
        <f t="shared" si="6"/>
        <v>0.11103158264047576</v>
      </c>
      <c r="BK32" s="1">
        <f t="shared" si="7"/>
        <v>0.85863007885755205</v>
      </c>
      <c r="BL32" s="1">
        <f t="shared" si="9"/>
        <v>10</v>
      </c>
    </row>
    <row r="33" spans="2:64" ht="12" customHeight="1" thickBot="1">
      <c r="B33" s="186" t="s">
        <v>103</v>
      </c>
      <c r="C33" s="187"/>
      <c r="D33" s="187"/>
      <c r="E33" s="187"/>
      <c r="F33" s="187"/>
      <c r="G33" s="187"/>
      <c r="H33" s="188"/>
      <c r="I33" s="192" t="s">
        <v>8</v>
      </c>
      <c r="J33" s="187"/>
      <c r="K33" s="187"/>
      <c r="L33" s="187"/>
      <c r="M33" s="187"/>
      <c r="N33" s="187"/>
      <c r="O33" s="188"/>
      <c r="P33" s="192" t="s">
        <v>9</v>
      </c>
      <c r="Q33" s="187"/>
      <c r="R33" s="187"/>
      <c r="S33" s="187"/>
      <c r="T33" s="187"/>
      <c r="U33" s="194"/>
      <c r="X33" s="26"/>
      <c r="Y33" s="199">
        <v>10</v>
      </c>
      <c r="Z33" s="200"/>
      <c r="AA33" s="200"/>
      <c r="AB33" s="200"/>
      <c r="AC33" s="421">
        <f t="shared" si="18"/>
        <v>22</v>
      </c>
      <c r="AD33" s="422"/>
      <c r="AE33" s="422"/>
      <c r="AF33" s="422"/>
      <c r="AG33" s="196">
        <f t="shared" si="19"/>
        <v>1377</v>
      </c>
      <c r="AH33" s="197"/>
      <c r="AI33" s="197"/>
      <c r="AJ33" s="198"/>
      <c r="AK33" s="5"/>
      <c r="AL33" s="415"/>
      <c r="AM33" s="416"/>
      <c r="AN33" s="416"/>
      <c r="AO33" s="417"/>
      <c r="AP33" s="434"/>
      <c r="AQ33" s="416"/>
      <c r="AR33" s="416"/>
      <c r="AS33" s="435"/>
      <c r="AT33" s="27"/>
      <c r="BG33" s="1"/>
      <c r="BH33" s="1">
        <f t="shared" ref="BH33:BH40" si="20">BH32+10</f>
        <v>20</v>
      </c>
      <c r="BI33" s="1">
        <f t="shared" si="5"/>
        <v>72000</v>
      </c>
      <c r="BJ33" s="1">
        <f t="shared" si="6"/>
        <v>1.2328012533480932E-2</v>
      </c>
      <c r="BK33" s="1">
        <f t="shared" si="7"/>
        <v>0.98430347367609272</v>
      </c>
      <c r="BL33" s="1">
        <f t="shared" si="9"/>
        <v>10</v>
      </c>
    </row>
    <row r="34" spans="2:64" ht="12" customHeight="1" thickBot="1">
      <c r="B34" s="189"/>
      <c r="C34" s="190"/>
      <c r="D34" s="190"/>
      <c r="E34" s="190"/>
      <c r="F34" s="190"/>
      <c r="G34" s="190"/>
      <c r="H34" s="191"/>
      <c r="I34" s="193"/>
      <c r="J34" s="190"/>
      <c r="K34" s="190"/>
      <c r="L34" s="190"/>
      <c r="M34" s="190"/>
      <c r="N34" s="190"/>
      <c r="O34" s="191"/>
      <c r="P34" s="193"/>
      <c r="Q34" s="190"/>
      <c r="R34" s="190"/>
      <c r="S34" s="190"/>
      <c r="T34" s="190"/>
      <c r="U34" s="195"/>
      <c r="X34" s="26"/>
      <c r="Y34" s="201">
        <v>20</v>
      </c>
      <c r="Z34" s="202"/>
      <c r="AA34" s="202"/>
      <c r="AB34" s="202"/>
      <c r="AC34" s="418">
        <f t="shared" si="18"/>
        <v>11</v>
      </c>
      <c r="AD34" s="419"/>
      <c r="AE34" s="419"/>
      <c r="AF34" s="419"/>
      <c r="AG34" s="203">
        <f t="shared" si="19"/>
        <v>1637</v>
      </c>
      <c r="AH34" s="204"/>
      <c r="AI34" s="204"/>
      <c r="AJ34" s="205"/>
      <c r="AK34" s="7"/>
      <c r="AL34" s="157">
        <v>1151</v>
      </c>
      <c r="AM34" s="158"/>
      <c r="AN34" s="158"/>
      <c r="AO34" s="159"/>
      <c r="AP34" s="160">
        <f>IF(AL34="","",IF(AV30=0,"",ROUNDUP((($X$22/$AL$34)^$I$35)*(LN(1-$P$35/100)/LN(1-$B$35/100)),0)))</f>
        <v>45</v>
      </c>
      <c r="AQ34" s="161"/>
      <c r="AR34" s="161"/>
      <c r="AS34" s="162"/>
      <c r="AT34" s="27"/>
      <c r="BG34" s="1"/>
      <c r="BH34" s="1">
        <f t="shared" si="20"/>
        <v>30</v>
      </c>
      <c r="BI34" s="1">
        <f t="shared" si="5"/>
        <v>108000</v>
      </c>
      <c r="BJ34" s="1">
        <f t="shared" si="6"/>
        <v>1.3687987529426887E-3</v>
      </c>
      <c r="BK34" s="1">
        <f t="shared" si="7"/>
        <v>0.99825718982688039</v>
      </c>
      <c r="BL34" s="1">
        <f t="shared" si="9"/>
        <v>10</v>
      </c>
    </row>
    <row r="35" spans="2:64" ht="12" customHeight="1" thickBot="1">
      <c r="B35" s="157">
        <v>0.1</v>
      </c>
      <c r="C35" s="452"/>
      <c r="D35" s="452"/>
      <c r="E35" s="452"/>
      <c r="F35" s="452"/>
      <c r="G35" s="452"/>
      <c r="H35" s="453"/>
      <c r="I35" s="454">
        <v>4</v>
      </c>
      <c r="J35" s="452"/>
      <c r="K35" s="452"/>
      <c r="L35" s="452"/>
      <c r="M35" s="452"/>
      <c r="N35" s="452"/>
      <c r="O35" s="453"/>
      <c r="P35" s="454">
        <v>90</v>
      </c>
      <c r="Q35" s="452"/>
      <c r="R35" s="452"/>
      <c r="S35" s="452"/>
      <c r="T35" s="452"/>
      <c r="U35" s="455"/>
      <c r="X35" s="28"/>
      <c r="Y35" s="29"/>
      <c r="Z35" s="29"/>
      <c r="AA35" s="29"/>
      <c r="AB35" s="29"/>
      <c r="AC35" s="29"/>
      <c r="AD35" s="29"/>
      <c r="AE35" s="29"/>
      <c r="AF35" s="29"/>
      <c r="AG35" s="29"/>
      <c r="AH35" s="29"/>
      <c r="AI35" s="29"/>
      <c r="AJ35" s="29"/>
      <c r="AK35" s="29"/>
      <c r="AL35" s="29"/>
      <c r="AM35" s="29"/>
      <c r="AN35" s="29"/>
      <c r="AO35" s="29"/>
      <c r="AP35" s="29"/>
      <c r="AQ35" s="29"/>
      <c r="AR35" s="29"/>
      <c r="AS35" s="29"/>
      <c r="AT35" s="30"/>
      <c r="BG35" s="1"/>
      <c r="BH35" s="1">
        <f t="shared" si="20"/>
        <v>40</v>
      </c>
      <c r="BI35" s="1">
        <f t="shared" si="5"/>
        <v>144000</v>
      </c>
      <c r="BJ35" s="1">
        <f t="shared" si="6"/>
        <v>1.51979893025663E-4</v>
      </c>
      <c r="BK35" s="1">
        <f t="shared" si="7"/>
        <v>0.99980649302674673</v>
      </c>
      <c r="BL35" s="1">
        <f t="shared" si="9"/>
        <v>10</v>
      </c>
    </row>
    <row r="36" spans="2:64" s="76" customFormat="1" ht="15" customHeight="1">
      <c r="BA36" s="66"/>
      <c r="BB36" s="66"/>
      <c r="BC36" s="66"/>
      <c r="BD36" s="66"/>
      <c r="BE36" s="66"/>
      <c r="BF36" s="66"/>
      <c r="BH36" s="1">
        <f t="shared" si="20"/>
        <v>50</v>
      </c>
      <c r="BI36" s="1">
        <f t="shared" si="5"/>
        <v>180000</v>
      </c>
      <c r="BJ36" s="1">
        <f t="shared" si="6"/>
        <v>1.6874568182090554E-5</v>
      </c>
      <c r="BK36" s="1">
        <f t="shared" si="7"/>
        <v>0.99997851461434228</v>
      </c>
      <c r="BL36" s="1">
        <f t="shared" si="9"/>
        <v>10</v>
      </c>
    </row>
    <row r="37" spans="2:64" s="76" customFormat="1" ht="15" hidden="1" customHeight="1">
      <c r="B37" s="62" t="s">
        <v>108</v>
      </c>
      <c r="C37" s="59"/>
      <c r="D37" s="59"/>
      <c r="E37" s="59"/>
      <c r="F37" s="59"/>
      <c r="G37" s="59"/>
      <c r="H37" s="59"/>
      <c r="I37" s="59"/>
      <c r="J37" s="59"/>
      <c r="K37" s="59"/>
      <c r="L37" s="59"/>
      <c r="M37" s="59"/>
      <c r="N37" s="59"/>
      <c r="O37" s="59"/>
      <c r="P37" s="59"/>
      <c r="Q37" s="59">
        <f>IF(CODE(B29)=49,1,0)</f>
        <v>0</v>
      </c>
      <c r="R37" s="59"/>
      <c r="S37" s="59"/>
      <c r="T37" s="59"/>
      <c r="U37" s="59"/>
      <c r="V37" s="59"/>
      <c r="W37" s="59"/>
      <c r="X37" s="63" t="s">
        <v>7</v>
      </c>
      <c r="Y37" s="64">
        <v>0.8</v>
      </c>
      <c r="Z37" s="64">
        <v>0.5</v>
      </c>
      <c r="AA37" s="64">
        <v>1.5</v>
      </c>
      <c r="AB37" s="59"/>
      <c r="AC37" s="59"/>
      <c r="AD37" s="59"/>
      <c r="AE37" s="59">
        <f ca="1">'Top sheet'!D34</f>
        <v>1</v>
      </c>
      <c r="AF37" s="66"/>
      <c r="AG37" s="66"/>
      <c r="AH37" s="66"/>
      <c r="BA37" s="66"/>
      <c r="BB37" s="66"/>
      <c r="BC37" s="66"/>
      <c r="BD37" s="66"/>
      <c r="BE37" s="66"/>
      <c r="BF37" s="66"/>
      <c r="BH37" s="1">
        <f t="shared" si="20"/>
        <v>60</v>
      </c>
      <c r="BI37" s="1">
        <f t="shared" si="5"/>
        <v>216000</v>
      </c>
      <c r="BJ37" s="1">
        <f t="shared" si="6"/>
        <v>1.8736100260574601E-6</v>
      </c>
      <c r="BK37" s="1">
        <f t="shared" si="7"/>
        <v>0.99999761444360846</v>
      </c>
      <c r="BL37" s="1">
        <f t="shared" si="9"/>
        <v>10</v>
      </c>
    </row>
    <row r="38" spans="2:64" s="76" customFormat="1" ht="15" hidden="1" customHeight="1">
      <c r="B38" s="62" t="s">
        <v>109</v>
      </c>
      <c r="C38" s="59"/>
      <c r="D38" s="59"/>
      <c r="E38" s="59"/>
      <c r="F38" s="59"/>
      <c r="G38" s="59"/>
      <c r="H38" s="59"/>
      <c r="I38" s="59"/>
      <c r="J38" s="59"/>
      <c r="K38" s="59"/>
      <c r="L38" s="59"/>
      <c r="M38" s="59"/>
      <c r="N38" s="59"/>
      <c r="O38" s="59"/>
      <c r="P38" s="59"/>
      <c r="Q38" s="59">
        <f>IF(CODE(B29)=50,1,0)</f>
        <v>1</v>
      </c>
      <c r="R38" s="59"/>
      <c r="S38" s="59"/>
      <c r="T38" s="59"/>
      <c r="U38" s="59"/>
      <c r="V38" s="59"/>
      <c r="W38" s="59"/>
      <c r="X38" s="63" t="s">
        <v>40</v>
      </c>
      <c r="Y38" s="64">
        <v>3</v>
      </c>
      <c r="Z38" s="64">
        <v>2</v>
      </c>
      <c r="AA38" s="64">
        <v>8</v>
      </c>
      <c r="AB38" s="59"/>
      <c r="AC38" s="59"/>
      <c r="AD38" s="59"/>
      <c r="AE38" s="59"/>
      <c r="AF38" s="66"/>
      <c r="AG38" s="66"/>
      <c r="AH38" s="66"/>
      <c r="BA38" s="66"/>
      <c r="BB38" s="66"/>
      <c r="BC38" s="66"/>
      <c r="BD38" s="66"/>
      <c r="BE38" s="66"/>
      <c r="BF38" s="66"/>
      <c r="BH38" s="1">
        <f t="shared" si="20"/>
        <v>70</v>
      </c>
      <c r="BI38" s="1">
        <f t="shared" si="5"/>
        <v>252000</v>
      </c>
      <c r="BJ38" s="1">
        <f t="shared" si="6"/>
        <v>2.0802988804589111E-7</v>
      </c>
      <c r="BK38" s="1">
        <f t="shared" si="7"/>
        <v>0.99999973512789631</v>
      </c>
      <c r="BL38" s="1">
        <f t="shared" si="9"/>
        <v>10</v>
      </c>
    </row>
    <row r="39" spans="2:64" s="76" customFormat="1" ht="15" hidden="1" customHeight="1">
      <c r="B39" s="62"/>
      <c r="C39" s="59"/>
      <c r="D39" s="59"/>
      <c r="E39" s="59"/>
      <c r="F39" s="59"/>
      <c r="G39" s="59"/>
      <c r="H39" s="59"/>
      <c r="I39" s="59"/>
      <c r="J39" s="59"/>
      <c r="K39" s="59"/>
      <c r="L39" s="59"/>
      <c r="M39" s="59"/>
      <c r="N39" s="59"/>
      <c r="O39" s="59"/>
      <c r="P39" s="59"/>
      <c r="Q39" s="59"/>
      <c r="R39" s="59"/>
      <c r="S39" s="59"/>
      <c r="T39" s="59"/>
      <c r="U39" s="59"/>
      <c r="V39" s="59"/>
      <c r="W39" s="59"/>
      <c r="X39" s="63" t="s">
        <v>41</v>
      </c>
      <c r="Y39" s="64">
        <v>2</v>
      </c>
      <c r="Z39" s="64">
        <v>2</v>
      </c>
      <c r="AA39" s="64">
        <v>6</v>
      </c>
      <c r="AB39" s="59"/>
      <c r="AC39" s="59"/>
      <c r="AD39" s="59"/>
      <c r="AE39" s="59"/>
      <c r="AF39" s="66"/>
      <c r="AG39" s="66"/>
      <c r="AH39" s="66"/>
      <c r="BA39" s="66"/>
      <c r="BB39" s="66"/>
      <c r="BC39" s="66"/>
      <c r="BD39" s="66"/>
      <c r="BE39" s="66"/>
      <c r="BF39" s="66"/>
      <c r="BH39" s="1">
        <f t="shared" si="20"/>
        <v>80</v>
      </c>
      <c r="BI39" s="1">
        <f t="shared" si="5"/>
        <v>288000</v>
      </c>
      <c r="BJ39" s="1">
        <f t="shared" si="6"/>
        <v>2.3097887884091969E-8</v>
      </c>
      <c r="BK39" s="1">
        <f t="shared" si="7"/>
        <v>0.9999999705908309</v>
      </c>
      <c r="BL39" s="1">
        <f t="shared" si="9"/>
        <v>10</v>
      </c>
    </row>
    <row r="40" spans="2:64" s="76" customFormat="1" ht="15" hidden="1" customHeight="1">
      <c r="B40" s="59"/>
      <c r="C40" s="59"/>
      <c r="D40" s="59"/>
      <c r="E40" s="59"/>
      <c r="F40" s="59"/>
      <c r="G40" s="59"/>
      <c r="H40" s="59"/>
      <c r="I40" s="59"/>
      <c r="J40" s="59"/>
      <c r="K40" s="59"/>
      <c r="L40" s="59"/>
      <c r="M40" s="59"/>
      <c r="N40" s="59"/>
      <c r="O40" s="59"/>
      <c r="P40" s="59"/>
      <c r="Q40" s="59"/>
      <c r="R40" s="59"/>
      <c r="S40" s="59"/>
      <c r="T40" s="59"/>
      <c r="U40" s="59"/>
      <c r="V40" s="59"/>
      <c r="W40" s="59"/>
      <c r="X40" s="59"/>
      <c r="Y40" s="64"/>
      <c r="Z40" s="64"/>
      <c r="AA40" s="64"/>
      <c r="AB40" s="59"/>
      <c r="AC40" s="59"/>
      <c r="AD40" s="59"/>
      <c r="AE40" s="59"/>
      <c r="AF40" s="66"/>
      <c r="AG40" s="66"/>
      <c r="AH40" s="66"/>
      <c r="BA40" s="66"/>
      <c r="BB40" s="66"/>
      <c r="BC40" s="66"/>
      <c r="BD40" s="66"/>
      <c r="BE40" s="66"/>
      <c r="BF40" s="66"/>
      <c r="BH40" s="1">
        <f t="shared" si="20"/>
        <v>90</v>
      </c>
      <c r="BI40" s="1">
        <f t="shared" si="5"/>
        <v>324000</v>
      </c>
      <c r="BJ40" s="1">
        <f t="shared" si="6"/>
        <v>2.564595067168379E-9</v>
      </c>
      <c r="BK40" s="1">
        <f t="shared" si="7"/>
        <v>0.99999999673465334</v>
      </c>
      <c r="BL40" s="1">
        <f t="shared" si="9"/>
        <v>10</v>
      </c>
    </row>
    <row r="41" spans="2:64" s="76" customFormat="1" ht="15" hidden="1" customHeight="1">
      <c r="B41" s="59" t="s">
        <v>101</v>
      </c>
      <c r="C41" s="59"/>
      <c r="D41" s="59"/>
      <c r="E41" s="59"/>
      <c r="F41" s="59"/>
      <c r="G41" s="59"/>
      <c r="H41" s="59"/>
      <c r="I41" s="59"/>
      <c r="J41" s="59"/>
      <c r="K41" s="59"/>
      <c r="L41" s="59"/>
      <c r="M41" s="59"/>
      <c r="N41" s="59"/>
      <c r="O41" s="59"/>
      <c r="P41" s="59"/>
      <c r="Q41" s="59">
        <f>IF(CODE(K19)=49,1,0)</f>
        <v>1</v>
      </c>
      <c r="R41" s="59"/>
      <c r="S41" s="59"/>
      <c r="T41" s="59"/>
      <c r="U41" s="59"/>
      <c r="V41" s="59"/>
      <c r="W41" s="59"/>
      <c r="X41" s="59" t="s">
        <v>42</v>
      </c>
      <c r="Y41" s="64">
        <v>4</v>
      </c>
      <c r="Z41" s="64">
        <v>2</v>
      </c>
      <c r="AA41" s="64">
        <v>10</v>
      </c>
      <c r="AB41" s="59"/>
      <c r="AC41" s="59"/>
      <c r="AD41" s="59"/>
      <c r="AE41" s="59"/>
      <c r="AF41" s="66"/>
      <c r="AG41" s="66"/>
      <c r="AH41" s="66"/>
      <c r="BA41" s="66"/>
      <c r="BB41" s="66"/>
      <c r="BC41" s="66"/>
      <c r="BD41" s="66"/>
      <c r="BE41" s="66"/>
      <c r="BF41" s="66"/>
      <c r="BI41" s="1"/>
      <c r="BJ41" s="1"/>
      <c r="BK41" s="1"/>
      <c r="BL41" s="1"/>
    </row>
    <row r="42" spans="2:64" ht="15" hidden="1" customHeight="1">
      <c r="B42" s="59" t="s">
        <v>102</v>
      </c>
      <c r="C42" s="59"/>
      <c r="D42" s="59"/>
      <c r="E42" s="59"/>
      <c r="F42" s="59"/>
      <c r="G42" s="59"/>
      <c r="H42" s="59"/>
      <c r="I42" s="59"/>
      <c r="J42" s="59"/>
      <c r="K42" s="59"/>
      <c r="L42" s="59"/>
      <c r="M42" s="59"/>
      <c r="N42" s="59"/>
      <c r="O42" s="59"/>
      <c r="P42" s="59"/>
      <c r="Q42" s="59">
        <f>IF(CODE(K19)=50,1,0)</f>
        <v>0</v>
      </c>
      <c r="R42" s="66"/>
      <c r="S42" s="66"/>
      <c r="T42" s="66"/>
      <c r="U42" s="66"/>
      <c r="V42" s="66"/>
      <c r="W42" s="66"/>
      <c r="X42" s="66"/>
      <c r="Y42" s="66"/>
      <c r="Z42" s="66"/>
      <c r="AA42" s="66"/>
      <c r="AB42" s="66"/>
      <c r="AC42" s="66"/>
      <c r="AD42" s="66"/>
      <c r="AE42" s="66"/>
      <c r="AF42" s="32"/>
      <c r="AG42" s="32"/>
      <c r="AH42" s="32"/>
      <c r="BG42" s="76" t="s">
        <v>164</v>
      </c>
      <c r="BH42" s="76">
        <f>BL40</f>
        <v>10</v>
      </c>
      <c r="BL42" s="1">
        <f>BL40</f>
        <v>10</v>
      </c>
    </row>
    <row r="43" spans="2:64" ht="15" hidden="1" customHeight="1">
      <c r="B43" s="59" t="s">
        <v>100</v>
      </c>
      <c r="C43" s="66"/>
      <c r="D43" s="66"/>
      <c r="E43" s="66"/>
      <c r="F43" s="66"/>
      <c r="G43" s="66"/>
      <c r="H43" s="66"/>
      <c r="I43" s="66"/>
      <c r="J43" s="66"/>
      <c r="K43" s="66"/>
      <c r="L43" s="66"/>
      <c r="M43" s="66"/>
      <c r="N43" s="66"/>
      <c r="O43" s="66"/>
      <c r="P43" s="66"/>
      <c r="Q43" s="59">
        <f>IF(CODE(K19)=51,1,0)</f>
        <v>0</v>
      </c>
      <c r="R43" s="66"/>
      <c r="S43" s="66"/>
      <c r="T43" s="66"/>
      <c r="U43" s="66"/>
      <c r="V43" s="66"/>
      <c r="W43" s="66"/>
      <c r="X43" s="66"/>
      <c r="Y43" s="66"/>
      <c r="Z43" s="66"/>
      <c r="AA43" s="66"/>
      <c r="AB43" s="66"/>
      <c r="AC43" s="66"/>
      <c r="AD43" s="66"/>
      <c r="AE43" s="66"/>
      <c r="AF43" s="32"/>
      <c r="AG43" s="32"/>
      <c r="AH43" s="32"/>
      <c r="BG43" s="1"/>
      <c r="BH43" s="1">
        <f>BH42+1</f>
        <v>11</v>
      </c>
      <c r="BI43" s="1">
        <f t="shared" si="5"/>
        <v>39600</v>
      </c>
      <c r="BJ43" s="1">
        <f t="shared" si="6"/>
        <v>8.9123285122937657E-2</v>
      </c>
      <c r="BK43" s="1">
        <f t="shared" si="7"/>
        <v>0.8865246131762099</v>
      </c>
      <c r="BL43" s="1">
        <f t="shared" si="9"/>
        <v>11</v>
      </c>
    </row>
    <row r="44" spans="2:64" ht="15" customHeight="1">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BG44" s="1"/>
      <c r="BH44" s="1">
        <f t="shared" ref="BH44:BH51" si="21">BH43+1</f>
        <v>12</v>
      </c>
      <c r="BI44" s="1">
        <f t="shared" si="5"/>
        <v>43200</v>
      </c>
      <c r="BJ44" s="1">
        <f t="shared" si="6"/>
        <v>7.1537842840002488E-2</v>
      </c>
      <c r="BK44" s="1">
        <f t="shared" si="7"/>
        <v>0.90891511261494662</v>
      </c>
      <c r="BL44" s="1">
        <f t="shared" si="9"/>
        <v>11</v>
      </c>
    </row>
    <row r="45" spans="2:64" ht="15" customHeight="1">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BG45" s="1"/>
      <c r="BH45" s="1">
        <f t="shared" si="21"/>
        <v>13</v>
      </c>
      <c r="BI45" s="1">
        <f t="shared" si="5"/>
        <v>46800</v>
      </c>
      <c r="BJ45" s="1">
        <f t="shared" si="6"/>
        <v>5.7422288086553905E-2</v>
      </c>
      <c r="BK45" s="1">
        <f t="shared" si="7"/>
        <v>0.92688761030363109</v>
      </c>
      <c r="BL45" s="1">
        <f t="shared" si="9"/>
        <v>11</v>
      </c>
    </row>
    <row r="46" spans="2:64" ht="15" customHeight="1">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BG46" s="1"/>
      <c r="BH46" s="1">
        <f t="shared" si="21"/>
        <v>14</v>
      </c>
      <c r="BI46" s="1">
        <f t="shared" si="5"/>
        <v>50400</v>
      </c>
      <c r="BJ46" s="1">
        <f t="shared" si="6"/>
        <v>4.6091956895503931E-2</v>
      </c>
      <c r="BK46" s="1">
        <f t="shared" si="7"/>
        <v>0.94131384821634401</v>
      </c>
      <c r="BL46" s="1">
        <f t="shared" si="9"/>
        <v>11</v>
      </c>
    </row>
    <row r="47" spans="2:64" ht="15" customHeight="1">
      <c r="BG47" s="1"/>
      <c r="BH47" s="1">
        <f t="shared" si="21"/>
        <v>15</v>
      </c>
      <c r="BI47" s="1">
        <f t="shared" si="5"/>
        <v>54000</v>
      </c>
      <c r="BJ47" s="1">
        <f t="shared" si="6"/>
        <v>3.6997280345175174E-2</v>
      </c>
      <c r="BK47" s="1">
        <f t="shared" si="7"/>
        <v>0.95289355982776214</v>
      </c>
      <c r="BL47" s="1">
        <f t="shared" si="9"/>
        <v>11</v>
      </c>
    </row>
    <row r="48" spans="2:64" ht="15" customHeight="1">
      <c r="BG48" s="1"/>
      <c r="BH48" s="1">
        <f t="shared" si="21"/>
        <v>16</v>
      </c>
      <c r="BI48" s="1">
        <f t="shared" si="5"/>
        <v>57600</v>
      </c>
      <c r="BJ48" s="1">
        <f t="shared" si="6"/>
        <v>2.9697128200400619E-2</v>
      </c>
      <c r="BK48" s="1">
        <f t="shared" si="7"/>
        <v>0.96218841007209643</v>
      </c>
      <c r="BL48" s="1">
        <f t="shared" si="9"/>
        <v>11</v>
      </c>
    </row>
    <row r="49" spans="59:64" ht="15" customHeight="1">
      <c r="BG49" s="1"/>
      <c r="BH49" s="1">
        <f t="shared" si="21"/>
        <v>17</v>
      </c>
      <c r="BI49" s="1">
        <f t="shared" si="5"/>
        <v>61200</v>
      </c>
      <c r="BJ49" s="1">
        <f t="shared" si="6"/>
        <v>2.3837412240095484E-2</v>
      </c>
      <c r="BK49" s="1">
        <f t="shared" si="7"/>
        <v>0.96964923845556483</v>
      </c>
      <c r="BL49" s="1">
        <f t="shared" si="9"/>
        <v>11</v>
      </c>
    </row>
    <row r="50" spans="59:64" ht="15" customHeight="1">
      <c r="BG50" s="1"/>
      <c r="BH50" s="1">
        <f t="shared" si="21"/>
        <v>18</v>
      </c>
      <c r="BI50" s="1">
        <f t="shared" si="5"/>
        <v>64800</v>
      </c>
      <c r="BJ50" s="1">
        <f t="shared" si="6"/>
        <v>1.9133911483619814E-2</v>
      </c>
      <c r="BK50" s="1">
        <f t="shared" si="7"/>
        <v>0.97563792667582994</v>
      </c>
      <c r="BL50" s="1">
        <f t="shared" si="9"/>
        <v>11</v>
      </c>
    </row>
    <row r="51" spans="59:64" ht="15" customHeight="1">
      <c r="BG51" s="1"/>
      <c r="BH51" s="1">
        <f t="shared" si="21"/>
        <v>19</v>
      </c>
      <c r="BI51" s="1">
        <f t="shared" si="5"/>
        <v>68400</v>
      </c>
      <c r="BJ51" s="1">
        <f t="shared" si="6"/>
        <v>1.5358486272565424E-2</v>
      </c>
      <c r="BK51" s="1">
        <f t="shared" si="7"/>
        <v>0.98044495141305466</v>
      </c>
      <c r="BL51" s="1">
        <f t="shared" si="9"/>
        <v>11</v>
      </c>
    </row>
    <row r="52" spans="59:64" ht="15" customHeight="1">
      <c r="BG52" s="1"/>
    </row>
    <row r="53" spans="59:64" ht="15" customHeight="1">
      <c r="BG53" s="1" t="s">
        <v>160</v>
      </c>
      <c r="BH53" s="1">
        <f>BL51</f>
        <v>11</v>
      </c>
      <c r="BL53" s="1">
        <f>BL51</f>
        <v>11</v>
      </c>
    </row>
    <row r="54" spans="59:64" ht="15" customHeight="1">
      <c r="BG54" s="1"/>
      <c r="BH54" s="1">
        <f>BH53+0.1</f>
        <v>11.1</v>
      </c>
      <c r="BI54" s="1">
        <f t="shared" si="5"/>
        <v>39960</v>
      </c>
      <c r="BJ54" s="1">
        <f t="shared" si="6"/>
        <v>8.7185778906856776E-2</v>
      </c>
      <c r="BK54" s="1">
        <f t="shared" si="7"/>
        <v>0.8889915247924054</v>
      </c>
      <c r="BL54" s="1">
        <f t="shared" si="9"/>
        <v>11.1</v>
      </c>
    </row>
    <row r="55" spans="59:64" ht="15" customHeight="1">
      <c r="BG55" s="1"/>
      <c r="BH55" s="1">
        <f t="shared" ref="BH55:BH62" si="22">BH54+0.1</f>
        <v>11.2</v>
      </c>
      <c r="BI55" s="1">
        <f t="shared" si="5"/>
        <v>40320</v>
      </c>
      <c r="BJ55" s="1">
        <f t="shared" si="6"/>
        <v>8.5290393333770059E-2</v>
      </c>
      <c r="BK55" s="1">
        <f t="shared" si="7"/>
        <v>0.891404806694992</v>
      </c>
      <c r="BL55" s="1">
        <f t="shared" si="9"/>
        <v>11.2</v>
      </c>
    </row>
    <row r="56" spans="59:64" ht="15" customHeight="1">
      <c r="BG56" s="1"/>
      <c r="BH56" s="1">
        <f t="shared" si="22"/>
        <v>11.299999999999999</v>
      </c>
      <c r="BI56" s="1">
        <f t="shared" si="5"/>
        <v>40679.999999999993</v>
      </c>
      <c r="BJ56" s="1">
        <f t="shared" si="6"/>
        <v>8.3436212717560909E-2</v>
      </c>
      <c r="BK56" s="1">
        <f t="shared" si="7"/>
        <v>0.89376562477272858</v>
      </c>
      <c r="BL56" s="1">
        <f t="shared" si="9"/>
        <v>11.299999999999999</v>
      </c>
    </row>
    <row r="57" spans="59:64" ht="15" customHeight="1">
      <c r="BG57" s="1"/>
      <c r="BH57" s="1">
        <f t="shared" si="22"/>
        <v>11.399999999999999</v>
      </c>
      <c r="BI57" s="1">
        <f t="shared" si="5"/>
        <v>41039.999999999993</v>
      </c>
      <c r="BJ57" s="1">
        <f t="shared" si="6"/>
        <v>8.1622341278671642E-2</v>
      </c>
      <c r="BK57" s="1">
        <f t="shared" si="7"/>
        <v>0.89607511956853481</v>
      </c>
      <c r="BL57" s="1">
        <f t="shared" si="9"/>
        <v>11.399999999999999</v>
      </c>
    </row>
    <row r="58" spans="59:64" ht="15" customHeight="1">
      <c r="BG58" s="1"/>
      <c r="BH58" s="1">
        <f t="shared" si="22"/>
        <v>11.499999999999998</v>
      </c>
      <c r="BI58" s="1">
        <f t="shared" si="5"/>
        <v>41399.999999999993</v>
      </c>
      <c r="BJ58" s="1">
        <f t="shared" si="6"/>
        <v>7.9847902711362273E-2</v>
      </c>
      <c r="BK58" s="1">
        <f t="shared" si="7"/>
        <v>0.89833440683047461</v>
      </c>
      <c r="BL58" s="1">
        <f t="shared" si="9"/>
        <v>11.499999999999998</v>
      </c>
    </row>
    <row r="59" spans="59:64" ht="15" customHeight="1">
      <c r="BG59" s="1"/>
      <c r="BH59" s="1">
        <f t="shared" si="22"/>
        <v>11.599999999999998</v>
      </c>
      <c r="BI59" s="1">
        <f t="shared" si="5"/>
        <v>41759.999999999993</v>
      </c>
      <c r="BJ59" s="1">
        <f t="shared" si="6"/>
        <v>7.8112039760372912E-2</v>
      </c>
      <c r="BK59" s="1">
        <f t="shared" si="7"/>
        <v>0.90054457805076671</v>
      </c>
      <c r="BL59" s="1">
        <f t="shared" si="9"/>
        <v>11.499999999999998</v>
      </c>
    </row>
    <row r="60" spans="59:64" ht="15" customHeight="1">
      <c r="BG60" s="1"/>
      <c r="BH60" s="1">
        <f t="shared" si="22"/>
        <v>11.699999999999998</v>
      </c>
      <c r="BI60" s="1">
        <f t="shared" si="5"/>
        <v>42119.999999999993</v>
      </c>
      <c r="BJ60" s="1">
        <f t="shared" si="6"/>
        <v>7.6413913806786388E-2</v>
      </c>
      <c r="BK60" s="1">
        <f t="shared" si="7"/>
        <v>0.90270670099308137</v>
      </c>
      <c r="BL60" s="1">
        <f t="shared" si="9"/>
        <v>11.499999999999998</v>
      </c>
    </row>
    <row r="61" spans="59:64" ht="15" customHeight="1">
      <c r="BG61" s="1"/>
      <c r="BH61" s="1">
        <f t="shared" si="22"/>
        <v>11.799999999999997</v>
      </c>
      <c r="BI61" s="1">
        <f t="shared" si="5"/>
        <v>42479.999999999993</v>
      </c>
      <c r="BJ61" s="1">
        <f t="shared" si="6"/>
        <v>7.4752704462892269E-2</v>
      </c>
      <c r="BK61" s="1">
        <f t="shared" si="7"/>
        <v>0.90482182020837565</v>
      </c>
      <c r="BL61" s="1">
        <f t="shared" si="9"/>
        <v>11.499999999999998</v>
      </c>
    </row>
    <row r="62" spans="59:64">
      <c r="BG62" s="1"/>
      <c r="BH62" s="1">
        <f t="shared" si="22"/>
        <v>11.899999999999997</v>
      </c>
      <c r="BI62" s="1">
        <f t="shared" si="5"/>
        <v>42839.999999999985</v>
      </c>
      <c r="BJ62" s="1">
        <f t="shared" si="6"/>
        <v>7.3127609175855951E-2</v>
      </c>
      <c r="BK62" s="1">
        <f t="shared" si="7"/>
        <v>0.90689095753951854</v>
      </c>
      <c r="BL62" s="1">
        <f t="shared" si="9"/>
        <v>11.499999999999998</v>
      </c>
    </row>
    <row r="63" spans="59:64">
      <c r="BG63" s="1"/>
    </row>
    <row r="64" spans="59:64">
      <c r="BG64" s="1" t="s">
        <v>165</v>
      </c>
      <c r="BH64" s="1">
        <f>BL62</f>
        <v>11.499999999999998</v>
      </c>
      <c r="BL64" s="1">
        <f>BL62</f>
        <v>11.499999999999998</v>
      </c>
    </row>
    <row r="65" spans="59:64">
      <c r="BG65" s="1"/>
      <c r="BH65" s="1">
        <f>BH64+0.01</f>
        <v>11.509999999999998</v>
      </c>
      <c r="BI65" s="1">
        <f t="shared" si="5"/>
        <v>41435.999999999993</v>
      </c>
      <c r="BJ65" s="1">
        <f t="shared" si="6"/>
        <v>7.9672594495455634E-2</v>
      </c>
      <c r="BK65" s="1">
        <f t="shared" si="7"/>
        <v>0.89855761637202103</v>
      </c>
      <c r="BL65" s="1">
        <f t="shared" si="9"/>
        <v>11.509999999999998</v>
      </c>
    </row>
    <row r="66" spans="59:64">
      <c r="BG66" s="1"/>
      <c r="BH66" s="1">
        <f t="shared" ref="BH66:BH74" si="23">BH65+0.01</f>
        <v>11.519999999999998</v>
      </c>
      <c r="BI66" s="1">
        <f t="shared" si="5"/>
        <v>41471.999999999993</v>
      </c>
      <c r="BJ66" s="1">
        <f t="shared" si="6"/>
        <v>7.9497671173434217E-2</v>
      </c>
      <c r="BK66" s="1">
        <f t="shared" si="7"/>
        <v>0.89878033585103823</v>
      </c>
      <c r="BL66" s="1">
        <f t="shared" si="9"/>
        <v>11.519999999999998</v>
      </c>
    </row>
    <row r="67" spans="59:64">
      <c r="BG67" s="1"/>
      <c r="BH67" s="1">
        <f t="shared" si="23"/>
        <v>11.529999999999998</v>
      </c>
      <c r="BI67" s="1">
        <f t="shared" si="5"/>
        <v>41507.999999999993</v>
      </c>
      <c r="BJ67" s="1">
        <f t="shared" si="6"/>
        <v>7.9323131900253432E-2</v>
      </c>
      <c r="BK67" s="1">
        <f t="shared" si="7"/>
        <v>0.89900256634347142</v>
      </c>
      <c r="BL67" s="1">
        <f t="shared" si="9"/>
        <v>11.529999999999998</v>
      </c>
    </row>
    <row r="68" spans="59:64">
      <c r="BG68" s="1"/>
      <c r="BH68" s="1">
        <f t="shared" si="23"/>
        <v>11.539999999999997</v>
      </c>
      <c r="BI68" s="1">
        <f t="shared" si="5"/>
        <v>41543.999999999993</v>
      </c>
      <c r="BJ68" s="1">
        <f t="shared" si="6"/>
        <v>7.9148975832724053E-2</v>
      </c>
      <c r="BK68" s="1">
        <f t="shared" si="7"/>
        <v>0.89922430892290328</v>
      </c>
      <c r="BL68" s="1">
        <f t="shared" si="9"/>
        <v>11.539999999999997</v>
      </c>
    </row>
    <row r="69" spans="59:64">
      <c r="BG69" s="1"/>
      <c r="BH69" s="1">
        <f t="shared" si="23"/>
        <v>11.549999999999997</v>
      </c>
      <c r="BI69" s="1">
        <f t="shared" si="5"/>
        <v>41579.999999999993</v>
      </c>
      <c r="BJ69" s="1">
        <f t="shared" si="6"/>
        <v>7.8975202129508051E-2</v>
      </c>
      <c r="BK69" s="1">
        <f t="shared" si="7"/>
        <v>0.89944556466055969</v>
      </c>
      <c r="BL69" s="1">
        <f t="shared" si="9"/>
        <v>11.549999999999997</v>
      </c>
    </row>
    <row r="70" spans="59:64">
      <c r="BG70" s="1"/>
      <c r="BH70" s="1">
        <f t="shared" si="23"/>
        <v>11.559999999999997</v>
      </c>
      <c r="BI70" s="1">
        <f t="shared" si="5"/>
        <v>41615.999999999985</v>
      </c>
      <c r="BJ70" s="1">
        <f t="shared" si="6"/>
        <v>7.880180995111459E-2</v>
      </c>
      <c r="BK70" s="1">
        <f t="shared" si="7"/>
        <v>0.89966633462531442</v>
      </c>
      <c r="BL70" s="1">
        <f t="shared" si="9"/>
        <v>11.559999999999997</v>
      </c>
    </row>
    <row r="71" spans="59:64">
      <c r="BG71" s="1"/>
      <c r="BH71" s="1">
        <f t="shared" si="23"/>
        <v>11.569999999999997</v>
      </c>
      <c r="BI71" s="1">
        <f t="shared" si="5"/>
        <v>41651.999999999985</v>
      </c>
      <c r="BJ71" s="1">
        <f t="shared" si="6"/>
        <v>7.8628798459895885E-2</v>
      </c>
      <c r="BK71" s="1">
        <f t="shared" si="7"/>
        <v>0.89988661988369467</v>
      </c>
      <c r="BL71" s="1">
        <f t="shared" si="9"/>
        <v>11.569999999999997</v>
      </c>
    </row>
    <row r="72" spans="59:64">
      <c r="BG72" s="1"/>
      <c r="BH72" s="1">
        <f t="shared" si="23"/>
        <v>11.579999999999997</v>
      </c>
      <c r="BI72" s="1">
        <f t="shared" si="5"/>
        <v>41687.999999999985</v>
      </c>
      <c r="BJ72" s="1">
        <f t="shared" si="6"/>
        <v>7.8456166820043249E-2</v>
      </c>
      <c r="BK72" s="1">
        <f t="shared" si="7"/>
        <v>0.90010642149988607</v>
      </c>
      <c r="BL72" s="1">
        <f t="shared" si="9"/>
        <v>11.569999999999997</v>
      </c>
    </row>
    <row r="73" spans="59:64">
      <c r="BG73" s="1"/>
      <c r="BH73" s="1">
        <f t="shared" si="23"/>
        <v>11.589999999999996</v>
      </c>
      <c r="BI73" s="1">
        <f>BH73*3600</f>
        <v>41723.999999999985</v>
      </c>
      <c r="BJ73" s="1">
        <f>EXP(-(9.8695877*$BH$5*BI73)/($BH$6^2))+(-0.33333)*EXP(-(9*9.8695877*$BH$5*BI73)/($BH$6^2))+0.2*EXP(-(25*9.8695877*$BH$5*BI73)/($BH$6^2))+(-0.14286)*EXP(-(49*9.8695877*$BH$5*BI73)/($BH$6^2))+0.111111*EXP(-(81*9.8695877*$BH$5*BI73)/($BH$6^2))+(-0.09091)*EXP(-(121*9.8695877*$BH$5*BI73)/($BH$6^2))+0.076923*EXP(-(169*9.8695877*$BH$5*BI73)/($BH$6^2))+(-0.06667)*EXP(-(225*9.8695877*$BH$5*BI73)/($BH$6^2))+0.058824*EXP(-(289*9.8695877*$BH$5*BI73)/($BH$6^2))</f>
        <v>7.8283914197583168E-2</v>
      </c>
      <c r="BK73" s="1">
        <f>1-(4/3.14159)*BJ73</f>
        <v>0.90032574053573744</v>
      </c>
      <c r="BL73" s="1">
        <f t="shared" si="9"/>
        <v>11.569999999999997</v>
      </c>
    </row>
    <row r="74" spans="59:64">
      <c r="BG74" s="1"/>
      <c r="BH74" s="1">
        <f t="shared" si="23"/>
        <v>11.599999999999996</v>
      </c>
      <c r="BI74" s="1">
        <f>BH74*3600</f>
        <v>41759.999999999985</v>
      </c>
      <c r="BJ74" s="1">
        <f>EXP(-(9.8695877*$BH$5*BI74)/($BH$6^2))+(-0.33333)*EXP(-(9*9.8695877*$BH$5*BI74)/($BH$6^2))+0.2*EXP(-(25*9.8695877*$BH$5*BI74)/($BH$6^2))+(-0.14286)*EXP(-(49*9.8695877*$BH$5*BI74)/($BH$6^2))+0.111111*EXP(-(81*9.8695877*$BH$5*BI74)/($BH$6^2))+(-0.09091)*EXP(-(121*9.8695877*$BH$5*BI74)/($BH$6^2))+0.076923*EXP(-(169*9.8695877*$BH$5*BI74)/($BH$6^2))+(-0.06667)*EXP(-(225*9.8695877*$BH$5*BI74)/($BH$6^2))+0.058824*EXP(-(289*9.8695877*$BH$5*BI74)/($BH$6^2))</f>
        <v>7.8112039760372912E-2</v>
      </c>
      <c r="BK74" s="1">
        <f>1-(4/3.14159)*BJ74</f>
        <v>0.90054457805076671</v>
      </c>
      <c r="BL74" s="1">
        <f t="shared" si="9"/>
        <v>11.569999999999997</v>
      </c>
    </row>
    <row r="75" spans="59:64">
      <c r="BG75" s="1"/>
    </row>
    <row r="76" spans="59:64">
      <c r="BG76" s="1"/>
      <c r="BK76" s="1" t="s">
        <v>166</v>
      </c>
      <c r="BL76" s="1">
        <f>ROUND(BL74+0.01,1)</f>
        <v>11.6</v>
      </c>
    </row>
  </sheetData>
  <sheetProtection algorithmName="SHA-512" hashValue="j6ogmoQUTu8liJ6dF+eYuT5ehAUxtogtYZDhJloun+2KV6t2c00GRWsmZ+jgQnmtH6Oa8TypJcPCPv4tTHHMuw==" saltValue="dA7cdq7vkaLJEhPyhxo6PQ==" spinCount="100000" sheet="1" selectLockedCells="1"/>
  <mergeCells count="174">
    <mergeCell ref="P17:Q17"/>
    <mergeCell ref="R17:S17"/>
    <mergeCell ref="T17:V17"/>
    <mergeCell ref="AP13:AT13"/>
    <mergeCell ref="AF14:AJ14"/>
    <mergeCell ref="AK14:AO14"/>
    <mergeCell ref="AP14:AT14"/>
    <mergeCell ref="AF15:AJ15"/>
    <mergeCell ref="AK15:AO15"/>
    <mergeCell ref="AP15:AT15"/>
    <mergeCell ref="T16:W16"/>
    <mergeCell ref="T13:W13"/>
    <mergeCell ref="X13:AD13"/>
    <mergeCell ref="X16:AD16"/>
    <mergeCell ref="AF4:AT4"/>
    <mergeCell ref="B4:AD4"/>
    <mergeCell ref="B6:D6"/>
    <mergeCell ref="E6:G6"/>
    <mergeCell ref="AP9:AT9"/>
    <mergeCell ref="AF7:AJ7"/>
    <mergeCell ref="AF5:AJ6"/>
    <mergeCell ref="AK5:AO6"/>
    <mergeCell ref="T7:W7"/>
    <mergeCell ref="T8:W8"/>
    <mergeCell ref="X8:AD8"/>
    <mergeCell ref="H9:K9"/>
    <mergeCell ref="L9:O9"/>
    <mergeCell ref="P9:S9"/>
    <mergeCell ref="T9:W9"/>
    <mergeCell ref="X9:AD9"/>
    <mergeCell ref="AK9:AO9"/>
    <mergeCell ref="AK7:AO7"/>
    <mergeCell ref="AP7:AT7"/>
    <mergeCell ref="AF8:AJ8"/>
    <mergeCell ref="AK8:AO8"/>
    <mergeCell ref="AP8:AT8"/>
    <mergeCell ref="AP5:AT6"/>
    <mergeCell ref="B2:S2"/>
    <mergeCell ref="U2:AB2"/>
    <mergeCell ref="B5:G5"/>
    <mergeCell ref="H5:W5"/>
    <mergeCell ref="X5:AD6"/>
    <mergeCell ref="AC2:AD2"/>
    <mergeCell ref="B7:D16"/>
    <mergeCell ref="E7:G16"/>
    <mergeCell ref="L7:O7"/>
    <mergeCell ref="P7:S7"/>
    <mergeCell ref="H6:K6"/>
    <mergeCell ref="L6:O6"/>
    <mergeCell ref="P6:S6"/>
    <mergeCell ref="T6:W6"/>
    <mergeCell ref="H7:K7"/>
    <mergeCell ref="X7:AD7"/>
    <mergeCell ref="H8:K8"/>
    <mergeCell ref="L8:O8"/>
    <mergeCell ref="P8:S8"/>
    <mergeCell ref="P12:S12"/>
    <mergeCell ref="T12:W12"/>
    <mergeCell ref="H16:K16"/>
    <mergeCell ref="L16:O16"/>
    <mergeCell ref="P16:S16"/>
    <mergeCell ref="B26:F26"/>
    <mergeCell ref="G25:K25"/>
    <mergeCell ref="G22:K22"/>
    <mergeCell ref="L22:P22"/>
    <mergeCell ref="L25:P25"/>
    <mergeCell ref="Q25:U25"/>
    <mergeCell ref="Q21:U21"/>
    <mergeCell ref="B20:U20"/>
    <mergeCell ref="B21:F21"/>
    <mergeCell ref="G21:K21"/>
    <mergeCell ref="L21:P21"/>
    <mergeCell ref="Q22:U22"/>
    <mergeCell ref="B22:C22"/>
    <mergeCell ref="Q26:U26"/>
    <mergeCell ref="B35:H35"/>
    <mergeCell ref="I35:O35"/>
    <mergeCell ref="P35:U35"/>
    <mergeCell ref="B33:H34"/>
    <mergeCell ref="I33:O34"/>
    <mergeCell ref="G30:K30"/>
    <mergeCell ref="P33:U34"/>
    <mergeCell ref="L31:P31"/>
    <mergeCell ref="Q31:U31"/>
    <mergeCell ref="G31:K31"/>
    <mergeCell ref="B31:F31"/>
    <mergeCell ref="L30:P30"/>
    <mergeCell ref="B30:F30"/>
    <mergeCell ref="Q30:U30"/>
    <mergeCell ref="AP10:AT10"/>
    <mergeCell ref="X24:AT24"/>
    <mergeCell ref="AL28:AO29"/>
    <mergeCell ref="AG28:AJ29"/>
    <mergeCell ref="X22:AJ22"/>
    <mergeCell ref="AK10:AO10"/>
    <mergeCell ref="AK17:AO17"/>
    <mergeCell ref="AL22:AT22"/>
    <mergeCell ref="X20:AJ21"/>
    <mergeCell ref="AF11:AJ11"/>
    <mergeCell ref="AK11:AO11"/>
    <mergeCell ref="AP11:AT11"/>
    <mergeCell ref="AF16:AJ16"/>
    <mergeCell ref="AK16:AO16"/>
    <mergeCell ref="AP16:AT16"/>
    <mergeCell ref="AK13:AO13"/>
    <mergeCell ref="AL30:AO30"/>
    <mergeCell ref="AP30:AS30"/>
    <mergeCell ref="AL20:AT21"/>
    <mergeCell ref="AP28:AS29"/>
    <mergeCell ref="X25:AT26"/>
    <mergeCell ref="Y28:AB29"/>
    <mergeCell ref="AC28:AF29"/>
    <mergeCell ref="AP17:AT17"/>
    <mergeCell ref="AK12:AO12"/>
    <mergeCell ref="AP12:AT12"/>
    <mergeCell ref="AP34:AS34"/>
    <mergeCell ref="Y33:AB33"/>
    <mergeCell ref="AC33:AF33"/>
    <mergeCell ref="AG34:AJ34"/>
    <mergeCell ref="AL32:AO33"/>
    <mergeCell ref="AG32:AJ32"/>
    <mergeCell ref="AP32:AS33"/>
    <mergeCell ref="Y32:AB32"/>
    <mergeCell ref="AC32:AF32"/>
    <mergeCell ref="AL34:AO34"/>
    <mergeCell ref="Y34:AB34"/>
    <mergeCell ref="T10:W10"/>
    <mergeCell ref="X10:AD10"/>
    <mergeCell ref="H11:K11"/>
    <mergeCell ref="L11:O11"/>
    <mergeCell ref="P11:S11"/>
    <mergeCell ref="T11:W11"/>
    <mergeCell ref="X11:AD11"/>
    <mergeCell ref="AC34:AF34"/>
    <mergeCell ref="AG33:AJ33"/>
    <mergeCell ref="AG31:AJ31"/>
    <mergeCell ref="AC31:AF31"/>
    <mergeCell ref="Y30:AB30"/>
    <mergeCell ref="AC30:AF30"/>
    <mergeCell ref="Y31:AB31"/>
    <mergeCell ref="AG30:AJ30"/>
    <mergeCell ref="B29:U29"/>
    <mergeCell ref="G26:K26"/>
    <mergeCell ref="D22:F22"/>
    <mergeCell ref="B25:F25"/>
    <mergeCell ref="B24:U24"/>
    <mergeCell ref="L26:P26"/>
    <mergeCell ref="B28:U28"/>
    <mergeCell ref="B19:J19"/>
    <mergeCell ref="K19:U19"/>
    <mergeCell ref="L17:O17"/>
    <mergeCell ref="AF9:AJ9"/>
    <mergeCell ref="AF10:AJ10"/>
    <mergeCell ref="AF12:AJ12"/>
    <mergeCell ref="AF13:AJ13"/>
    <mergeCell ref="H14:K14"/>
    <mergeCell ref="L14:O14"/>
    <mergeCell ref="P14:S14"/>
    <mergeCell ref="T14:W14"/>
    <mergeCell ref="X14:AD14"/>
    <mergeCell ref="H15:K15"/>
    <mergeCell ref="L15:O15"/>
    <mergeCell ref="P15:S15"/>
    <mergeCell ref="T15:W15"/>
    <mergeCell ref="X15:AD15"/>
    <mergeCell ref="H12:K12"/>
    <mergeCell ref="L12:O12"/>
    <mergeCell ref="X12:AD12"/>
    <mergeCell ref="H13:K13"/>
    <mergeCell ref="L13:O13"/>
    <mergeCell ref="P13:S13"/>
    <mergeCell ref="H10:K10"/>
    <mergeCell ref="L10:O10"/>
    <mergeCell ref="P10:S10"/>
  </mergeCells>
  <phoneticPr fontId="1"/>
  <conditionalFormatting sqref="B31:F31">
    <cfRule type="expression" dxfId="32" priority="41" stopIfTrue="1">
      <formula>$Q$38=0</formula>
    </cfRule>
  </conditionalFormatting>
  <conditionalFormatting sqref="B30:K30">
    <cfRule type="expression" dxfId="31" priority="2">
      <formula>$Q$37=1</formula>
    </cfRule>
  </conditionalFormatting>
  <conditionalFormatting sqref="B22:P22">
    <cfRule type="expression" dxfId="30" priority="21" stopIfTrue="1">
      <formula>$Q$43=1</formula>
    </cfRule>
  </conditionalFormatting>
  <conditionalFormatting sqref="G31:K31">
    <cfRule type="expression" dxfId="29" priority="40" stopIfTrue="1">
      <formula>$Q$37=1</formula>
    </cfRule>
  </conditionalFormatting>
  <conditionalFormatting sqref="L30:P30">
    <cfRule type="expression" dxfId="28" priority="1">
      <formula>$Q$38=1</formula>
    </cfRule>
  </conditionalFormatting>
  <conditionalFormatting sqref="L31:P31">
    <cfRule type="expression" dxfId="27" priority="36" stopIfTrue="1">
      <formula>$Q$38=1</formula>
    </cfRule>
  </conditionalFormatting>
  <conditionalFormatting sqref="Q30:U30">
    <cfRule type="expression" dxfId="26" priority="42" stopIfTrue="1">
      <formula>$R$39=1</formula>
    </cfRule>
  </conditionalFormatting>
  <conditionalFormatting sqref="X20:AJ22">
    <cfRule type="expression" dxfId="25" priority="17" stopIfTrue="1">
      <formula>$AE$37=0</formula>
    </cfRule>
  </conditionalFormatting>
  <conditionalFormatting sqref="X24:AT26">
    <cfRule type="expression" dxfId="24" priority="15" stopIfTrue="1">
      <formula>$AE$37=0</formula>
    </cfRule>
  </conditionalFormatting>
  <conditionalFormatting sqref="X27:AT27">
    <cfRule type="expression" dxfId="23" priority="14" stopIfTrue="1">
      <formula>$AE$37=0</formula>
    </cfRule>
  </conditionalFormatting>
  <conditionalFormatting sqref="X28:AT35">
    <cfRule type="expression" dxfId="22" priority="19" stopIfTrue="1">
      <formula>$AE$37=0</formula>
    </cfRule>
  </conditionalFormatting>
  <conditionalFormatting sqref="AF4:AT16">
    <cfRule type="expression" dxfId="21" priority="5">
      <formula>$AE$37=0</formula>
    </cfRule>
  </conditionalFormatting>
  <conditionalFormatting sqref="AK17:AT17">
    <cfRule type="expression" dxfId="20" priority="4">
      <formula>$AE$37=0</formula>
    </cfRule>
  </conditionalFormatting>
  <conditionalFormatting sqref="AL20:AT22">
    <cfRule type="expression" dxfId="19" priority="7" stopIfTrue="1">
      <formula>$AE$37=0</formula>
    </cfRule>
  </conditionalFormatting>
  <dataValidations xWindow="882" yWindow="407" count="22">
    <dataValidation type="list" allowBlank="1" showInputMessage="1" showErrorMessage="1" sqref="B29:U29" xr:uid="{BFAFBF84-8CE9-44F3-81E6-B8343C35ACF0}">
      <formula1>$B$37:$B$38</formula1>
    </dataValidation>
    <dataValidation type="decimal" allowBlank="1" showInputMessage="1" showErrorMessage="1" error="Invalid value" prompt="Typical value is 0.35" sqref="L22:P22" xr:uid="{57159487-2FEB-4921-AAB7-A9F9994636CF}">
      <formula1>0.15</formula1>
      <formula2>0.4</formula2>
    </dataValidation>
    <dataValidation type="decimal" allowBlank="1" showInputMessage="1" showErrorMessage="1" error="Invaiid value" prompt="Typical value is 0.75" sqref="G22:K22" xr:uid="{F8E7EEDC-52A3-4E2F-B122-FD8EAF9F84A9}">
      <formula1>0.1</formula1>
      <formula2>1.4</formula2>
    </dataValidation>
    <dataValidation type="decimal" allowBlank="1" showInputMessage="1" showErrorMessage="1" error="Invalid value" sqref="B22:C22" xr:uid="{D91BABF9-E99C-457C-AF3E-0E216B32D8BD}">
      <formula1>0.1</formula1>
      <formula2>10</formula2>
    </dataValidation>
    <dataValidation type="decimal" allowBlank="1" showInputMessage="1" showErrorMessage="1" error="Invalid value" sqref="B26:F26" xr:uid="{D818706F-5C07-4BE8-96CA-219D688FB320}">
      <formula1>0</formula1>
      <formula2>160</formula2>
    </dataValidation>
    <dataValidation type="decimal" allowBlank="1" showInputMessage="1" showErrorMessage="1" error="Invalid value" sqref="G26:K26" xr:uid="{18B7D72E-20A1-4DD6-8FA1-F17149F7EAEF}">
      <formula1>5</formula1>
      <formula2>100</formula2>
    </dataValidation>
    <dataValidation type="decimal" allowBlank="1" showInputMessage="1" showErrorMessage="1" sqref="Q31:U31" xr:uid="{114660E0-7689-465F-9C6F-18C72E417E7C}">
      <formula1>Z40</formula1>
      <formula2>AA40</formula2>
    </dataValidation>
    <dataValidation type="decimal" allowBlank="1" showInputMessage="1" showErrorMessage="1" error="Invalid value" prompt="Typical value is 3.0" sqref="G31:K31" xr:uid="{C113CF03-112E-46C2-B7C3-A1891794AE26}">
      <formula1>Z38</formula1>
      <formula2>AA38</formula2>
    </dataValidation>
    <dataValidation type="decimal" allowBlank="1" showInputMessage="1" showErrorMessage="1" error="Invalid value" prompt="Typical value is 2.0" sqref="L31:P31" xr:uid="{C6EB7654-82E8-4DEC-AB19-B6FB0E5A8068}">
      <formula1>Z39</formula1>
      <formula2>AA39</formula2>
    </dataValidation>
    <dataValidation type="decimal" allowBlank="1" showInputMessage="1" showErrorMessage="1" error="Invalid value" prompt="Typical value is 4.0" sqref="I35:O35" xr:uid="{AA9D9B8E-86C3-407F-B0B3-67C7394FE858}">
      <formula1>Z41</formula1>
      <formula2>AA41</formula2>
    </dataValidation>
    <dataValidation type="list" allowBlank="1" showInputMessage="1" showErrorMessage="1" sqref="K19:U19" xr:uid="{7B178E42-AAE8-49FA-8E70-7E219457E9AB}">
      <formula1>$B$41:$B$43</formula1>
    </dataValidation>
    <dataValidation type="decimal" allowBlank="1" showInputMessage="1" showErrorMessage="1" error="Invalid value" prompt="Typical value is 0.8" sqref="B31:F31" xr:uid="{3074C7F6-7514-413A-80C8-B5D876909D48}">
      <formula1>Z37</formula1>
      <formula2>AA37</formula2>
    </dataValidation>
    <dataValidation type="decimal" allowBlank="1" showInputMessage="1" showErrorMessage="1" error="Invalid value" prompt="Typical value is 0.1" sqref="B35:H35" xr:uid="{E70D772A-40BE-4F00-B128-FF1C31002A19}">
      <formula1>0.0001</formula1>
      <formula2>50</formula2>
    </dataValidation>
    <dataValidation type="decimal" allowBlank="1" showInputMessage="1" showErrorMessage="1" error="Invalid value" prompt="Typical value is 90" sqref="P35:U35" xr:uid="{4C512920-4DA4-429A-A829-F3E471865CD5}">
      <formula1>10</formula1>
      <formula2>99</formula2>
    </dataValidation>
    <dataValidation type="decimal" allowBlank="1" showInputMessage="1" showErrorMessage="1" error="Invalid value" sqref="Y30:AB30 Y31:AB31 Y32:AB34" xr:uid="{BA981C3C-CC07-490C-91FC-0099652A759D}">
      <formula1>0.1</formula1>
      <formula2>60</formula2>
    </dataValidation>
    <dataValidation type="whole" allowBlank="1" showInputMessage="1" showErrorMessage="1" error="Invalid value" sqref="AL30:AO30" xr:uid="{20C9759F-B4F1-43BC-B96A-295757E9FAD4}">
      <formula1>1</formula1>
      <formula2>10000</formula2>
    </dataValidation>
    <dataValidation type="decimal" allowBlank="1" showInputMessage="1" showErrorMessage="1" error="Invalid value" sqref="AL34:AO34" xr:uid="{02E52A60-7309-475C-B5D8-CFC40E6AB9CC}">
      <formula1>0.1</formula1>
      <formula2>10000</formula2>
    </dataValidation>
    <dataValidation type="decimal" allowBlank="1" showInputMessage="1" showErrorMessage="1" error="Invalid value" prompt="Enter temperature of typical atmosphere arround semiconductor devices before THS." sqref="B7:D16" xr:uid="{6DBF4006-E1BA-4301-9281-69A4F824FF6C}">
      <formula1>-20</formula1>
      <formula2>100</formula2>
    </dataValidation>
    <dataValidation type="decimal" allowBlank="1" showInputMessage="1" showErrorMessage="1" error="Invalid value" prompt="Enter relative humidity of typical atmosphere arround semiconductor devices before THS." sqref="E7:G16" xr:uid="{761DC109-C3DD-4353-B896-6FF076F844F8}">
      <formula1>1</formula1>
      <formula2>100</formula2>
    </dataValidation>
    <dataValidation type="decimal" allowBlank="1" showInputMessage="1" showErrorMessage="1" error="Invalid value" sqref="H7:K16" xr:uid="{4A8B0C95-9FC7-4AAC-BB5B-D774262948A6}">
      <formula1>-10</formula1>
      <formula2>200</formula2>
    </dataValidation>
    <dataValidation type="decimal" allowBlank="1" showInputMessage="1" showErrorMessage="1" error="Invalid value" sqref="P7:S16" xr:uid="{A5D23CBD-3BA3-4630-9064-AB34F03478A1}">
      <formula1>0</formula1>
      <formula2>100</formula2>
    </dataValidation>
    <dataValidation type="decimal" allowBlank="1" showInputMessage="1" showErrorMessage="1" error="Invalid value" sqref="AC2:AD2" xr:uid="{0A707F83-4BE5-4A0B-A4F3-555435DCAF3F}">
      <formula1>0.1</formula1>
      <formula2>100</formula2>
    </dataValidation>
  </dataValidations>
  <pageMargins left="0.7" right="0.7" top="0.75" bottom="0.75" header="0.3" footer="0.3"/>
  <pageSetup paperSize="9" orientation="landscape" r:id="rId1"/>
  <ignoredErrors>
    <ignoredError sqref="AP17" evalError="1"/>
    <ignoredError sqref="D22 L7:L16"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0EFB1-121B-4CBF-9736-31A6B6AB11CA}">
  <sheetPr codeName="Sheet5"/>
  <dimension ref="A1:BB95"/>
  <sheetViews>
    <sheetView showGridLines="0" showRowColHeaders="0" zoomScaleNormal="100" workbookViewId="0">
      <selection activeCell="V7" sqref="V7:AD7"/>
    </sheetView>
  </sheetViews>
  <sheetFormatPr defaultColWidth="9" defaultRowHeight="14"/>
  <cols>
    <col min="1" max="1" width="2.6328125" style="3" customWidth="1"/>
    <col min="2" max="46" width="3.54296875" style="3" customWidth="1"/>
    <col min="47" max="49" width="3.54296875" style="3" hidden="1" customWidth="1"/>
    <col min="50" max="50" width="1.81640625" style="3" hidden="1" customWidth="1"/>
    <col min="51" max="51" width="9.08984375" style="3" hidden="1" customWidth="1"/>
    <col min="52" max="52" width="9" style="3" hidden="1" customWidth="1"/>
    <col min="53" max="53" width="4.6328125" style="3" hidden="1" customWidth="1"/>
    <col min="54" max="54" width="4.36328125" style="3" hidden="1" customWidth="1"/>
    <col min="55" max="16384" width="9" style="3"/>
  </cols>
  <sheetData>
    <row r="1" spans="1:54" ht="7" customHeight="1" thickBot="1">
      <c r="A1" s="79" t="s">
        <v>87</v>
      </c>
    </row>
    <row r="2" spans="1:54" ht="26" customHeight="1" thickBot="1">
      <c r="B2" s="635" t="s">
        <v>75</v>
      </c>
      <c r="C2" s="803"/>
      <c r="D2" s="803"/>
      <c r="E2" s="803"/>
      <c r="F2" s="803"/>
      <c r="G2" s="803"/>
      <c r="H2" s="803"/>
      <c r="I2" s="803"/>
      <c r="J2" s="803"/>
      <c r="K2" s="803"/>
      <c r="L2" s="803"/>
      <c r="M2" s="803"/>
      <c r="N2" s="803"/>
      <c r="O2" s="803"/>
      <c r="P2" s="803"/>
      <c r="Q2" s="803"/>
      <c r="R2" s="803"/>
      <c r="S2" s="803"/>
      <c r="U2" s="359" t="s">
        <v>114</v>
      </c>
      <c r="V2" s="360"/>
      <c r="W2" s="360"/>
      <c r="X2" s="360"/>
      <c r="Y2" s="360"/>
      <c r="Z2" s="360"/>
      <c r="AA2" s="360"/>
      <c r="AB2" s="361"/>
      <c r="AC2" s="157">
        <v>10</v>
      </c>
      <c r="AD2" s="362"/>
      <c r="AF2" s="804" t="s">
        <v>111</v>
      </c>
      <c r="AG2" s="805"/>
      <c r="AH2" s="805"/>
      <c r="AI2" s="805"/>
      <c r="AJ2" s="806"/>
      <c r="AK2" s="807">
        <v>4</v>
      </c>
      <c r="AL2" s="808"/>
    </row>
    <row r="3" spans="1:54" ht="5" customHeight="1" thickBot="1"/>
    <row r="4" spans="1:54" ht="26" customHeight="1" thickBot="1">
      <c r="B4" s="354" t="s">
        <v>115</v>
      </c>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6"/>
      <c r="AF4" s="354" t="s">
        <v>170</v>
      </c>
      <c r="AG4" s="513"/>
      <c r="AH4" s="513"/>
      <c r="AI4" s="513"/>
      <c r="AJ4" s="513"/>
      <c r="AK4" s="513"/>
      <c r="AL4" s="513"/>
      <c r="AM4" s="513"/>
      <c r="AN4" s="513"/>
      <c r="AO4" s="513"/>
      <c r="AP4" s="513"/>
      <c r="AQ4" s="513"/>
      <c r="AR4" s="513"/>
      <c r="AS4" s="513"/>
      <c r="AT4" s="514"/>
    </row>
    <row r="5" spans="1:54" ht="11" customHeight="1">
      <c r="B5" s="186" t="s">
        <v>61</v>
      </c>
      <c r="C5" s="347"/>
      <c r="D5" s="347"/>
      <c r="E5" s="347"/>
      <c r="F5" s="363"/>
      <c r="G5" s="192" t="s">
        <v>151</v>
      </c>
      <c r="H5" s="347"/>
      <c r="I5" s="347"/>
      <c r="J5" s="347"/>
      <c r="K5" s="363"/>
      <c r="L5" s="783" t="s">
        <v>79</v>
      </c>
      <c r="M5" s="784"/>
      <c r="N5" s="784"/>
      <c r="O5" s="784"/>
      <c r="P5" s="785"/>
      <c r="Q5" s="192" t="s">
        <v>150</v>
      </c>
      <c r="R5" s="347"/>
      <c r="S5" s="347"/>
      <c r="T5" s="347"/>
      <c r="U5" s="363"/>
      <c r="V5" s="192" t="s">
        <v>57</v>
      </c>
      <c r="W5" s="347"/>
      <c r="X5" s="347"/>
      <c r="Y5" s="347"/>
      <c r="Z5" s="347"/>
      <c r="AA5" s="347"/>
      <c r="AB5" s="347"/>
      <c r="AC5" s="347"/>
      <c r="AD5" s="348"/>
      <c r="AF5" s="186" t="s">
        <v>139</v>
      </c>
      <c r="AG5" s="347"/>
      <c r="AH5" s="347"/>
      <c r="AI5" s="347"/>
      <c r="AJ5" s="363"/>
      <c r="AK5" s="783"/>
      <c r="AL5" s="784"/>
      <c r="AM5" s="784"/>
      <c r="AN5" s="784"/>
      <c r="AO5" s="785"/>
      <c r="AP5" s="192" t="s">
        <v>27</v>
      </c>
      <c r="AQ5" s="784"/>
      <c r="AR5" s="784"/>
      <c r="AS5" s="784"/>
      <c r="AT5" s="799"/>
    </row>
    <row r="6" spans="1:54" ht="11" customHeight="1" thickBot="1">
      <c r="B6" s="364"/>
      <c r="C6" s="350"/>
      <c r="D6" s="350"/>
      <c r="E6" s="350"/>
      <c r="F6" s="365"/>
      <c r="G6" s="349"/>
      <c r="H6" s="350"/>
      <c r="I6" s="350"/>
      <c r="J6" s="350"/>
      <c r="K6" s="365"/>
      <c r="L6" s="786"/>
      <c r="M6" s="787"/>
      <c r="N6" s="787"/>
      <c r="O6" s="787"/>
      <c r="P6" s="788"/>
      <c r="Q6" s="349"/>
      <c r="R6" s="350"/>
      <c r="S6" s="350"/>
      <c r="T6" s="350"/>
      <c r="U6" s="365"/>
      <c r="V6" s="349"/>
      <c r="W6" s="350"/>
      <c r="X6" s="350"/>
      <c r="Y6" s="350"/>
      <c r="Z6" s="350"/>
      <c r="AA6" s="350"/>
      <c r="AB6" s="350"/>
      <c r="AC6" s="350"/>
      <c r="AD6" s="351"/>
      <c r="AF6" s="364"/>
      <c r="AG6" s="350"/>
      <c r="AH6" s="350"/>
      <c r="AI6" s="350"/>
      <c r="AJ6" s="365"/>
      <c r="AK6" s="786"/>
      <c r="AL6" s="787"/>
      <c r="AM6" s="787"/>
      <c r="AN6" s="787"/>
      <c r="AO6" s="788"/>
      <c r="AP6" s="786"/>
      <c r="AQ6" s="787"/>
      <c r="AR6" s="787"/>
      <c r="AS6" s="787"/>
      <c r="AT6" s="800"/>
    </row>
    <row r="7" spans="1:54" ht="12" customHeight="1">
      <c r="B7" s="218">
        <v>20</v>
      </c>
      <c r="C7" s="812"/>
      <c r="D7" s="812"/>
      <c r="E7" s="812"/>
      <c r="F7" s="812"/>
      <c r="G7" s="812">
        <v>15</v>
      </c>
      <c r="H7" s="812"/>
      <c r="I7" s="812"/>
      <c r="J7" s="812"/>
      <c r="K7" s="812"/>
      <c r="L7" s="789">
        <v>50</v>
      </c>
      <c r="M7" s="789"/>
      <c r="N7" s="789"/>
      <c r="O7" s="789"/>
      <c r="P7" s="789"/>
      <c r="Q7" s="446">
        <f>IF(AU7=0,"",$AK$2*365*$AC$2*G7/100)</f>
        <v>2190</v>
      </c>
      <c r="R7" s="446"/>
      <c r="S7" s="446"/>
      <c r="T7" s="446"/>
      <c r="U7" s="446"/>
      <c r="V7" s="797"/>
      <c r="W7" s="789"/>
      <c r="X7" s="789"/>
      <c r="Y7" s="789"/>
      <c r="Z7" s="789"/>
      <c r="AA7" s="789"/>
      <c r="AB7" s="789"/>
      <c r="AC7" s="789"/>
      <c r="AD7" s="798"/>
      <c r="AF7" s="809">
        <f>IF(AV7=0,"",(AY7+AZ7))</f>
        <v>11038.12890625</v>
      </c>
      <c r="AG7" s="810"/>
      <c r="AH7" s="810"/>
      <c r="AI7" s="810"/>
      <c r="AJ7" s="810"/>
      <c r="AK7" s="811"/>
      <c r="AL7" s="811"/>
      <c r="AM7" s="811"/>
      <c r="AN7" s="811"/>
      <c r="AO7" s="811"/>
      <c r="AP7" s="801">
        <f>IF(AW7=0,"",Q7/AF7)</f>
        <v>0.1984031912111463</v>
      </c>
      <c r="AQ7" s="801"/>
      <c r="AR7" s="801"/>
      <c r="AS7" s="801"/>
      <c r="AT7" s="802"/>
      <c r="AU7" s="73">
        <f t="shared" ref="AU7:AU8" si="0">IF(G7="",0,1)*IF($AC$2="",0,1)*IF($AK$2="",0,1)</f>
        <v>1</v>
      </c>
      <c r="AV7" s="73">
        <f>IF(B7="",0,1)*IF($B$25="",0,1)*IF($G$25="",0,1)*IF($Q$25="",0,1)*(IF($B$30="",0,1)*$R$36*$S$36+IF(L7="",0,1)*IF($G$30="",0,1)*IF($L$30="",0,1)*IF($Q$30="",0,1)*$R$37*$S$37)</f>
        <v>1</v>
      </c>
      <c r="AW7" s="73">
        <f>IF(Q7="",0,1)*IF(AF7="",0,1)</f>
        <v>1</v>
      </c>
      <c r="AX7" s="73"/>
      <c r="AY7" s="73">
        <f>IF(BA7=0,0,($L$25/B7)^$B$30)</f>
        <v>11038.12890625</v>
      </c>
      <c r="AZ7" s="73">
        <f>IF(BB7=0,0,((($AK$2/$Q$25)^$L$30*($L$25/B7)^$G$30*EXP(($Q$30/0.00008617)*(1/(L7+273.15)-1/($B$25+273.15))))))</f>
        <v>0</v>
      </c>
      <c r="BA7" s="3">
        <f t="shared" ref="BA7:BA15" si="1">IF(B7="",0,1)*$R$36</f>
        <v>1</v>
      </c>
      <c r="BB7" s="3">
        <f t="shared" ref="BB7:BB15" si="2">IF(B7="",0,1)*IF(B7="",0,1)*IF(L7="",0,1)*IF($Q$25="",0,1)*$R$37</f>
        <v>0</v>
      </c>
    </row>
    <row r="8" spans="1:54" ht="12" customHeight="1">
      <c r="B8" s="792">
        <v>30</v>
      </c>
      <c r="C8" s="793"/>
      <c r="D8" s="793"/>
      <c r="E8" s="793"/>
      <c r="F8" s="793"/>
      <c r="G8" s="793">
        <v>20</v>
      </c>
      <c r="H8" s="793"/>
      <c r="I8" s="793"/>
      <c r="J8" s="793"/>
      <c r="K8" s="793"/>
      <c r="L8" s="674">
        <v>60</v>
      </c>
      <c r="M8" s="674"/>
      <c r="N8" s="674"/>
      <c r="O8" s="674"/>
      <c r="P8" s="674"/>
      <c r="Q8" s="421">
        <f t="shared" ref="Q8:Q16" si="3">IF(AU8=0,"",$AK$2*365*$AC$2*G8/100)</f>
        <v>2920</v>
      </c>
      <c r="R8" s="421"/>
      <c r="S8" s="421"/>
      <c r="T8" s="421"/>
      <c r="U8" s="421"/>
      <c r="V8" s="790"/>
      <c r="W8" s="674"/>
      <c r="X8" s="674"/>
      <c r="Y8" s="674"/>
      <c r="Z8" s="674"/>
      <c r="AA8" s="674"/>
      <c r="AB8" s="674"/>
      <c r="AC8" s="674"/>
      <c r="AD8" s="791"/>
      <c r="AF8" s="677">
        <f t="shared" ref="AF8:AF16" si="4">IF(AV8=0,"",(AY8+AZ8))</f>
        <v>2180.3711419753085</v>
      </c>
      <c r="AG8" s="678"/>
      <c r="AH8" s="678"/>
      <c r="AI8" s="678"/>
      <c r="AJ8" s="678"/>
      <c r="AK8" s="765"/>
      <c r="AL8" s="765"/>
      <c r="AM8" s="765"/>
      <c r="AN8" s="765"/>
      <c r="AO8" s="765"/>
      <c r="AP8" s="666">
        <f t="shared" ref="AP8:AP16" si="5">IF(AW8=0,"",Q8/AF8)</f>
        <v>1.3392215406752377</v>
      </c>
      <c r="AQ8" s="666"/>
      <c r="AR8" s="666"/>
      <c r="AS8" s="666"/>
      <c r="AT8" s="667"/>
      <c r="AU8" s="73">
        <f t="shared" si="0"/>
        <v>1</v>
      </c>
      <c r="AV8" s="73">
        <f t="shared" ref="AV8:AV16" si="6">IF(B8="",0,1)*IF($B$25="",0,1)*IF($G$25="",0,1)*IF($Q$25="",0,1)*(IF($B$30="",0,1)*$R$36*$S$36+IF(L8="",0,1)*IF($G$30="",0,1)*IF($L$30="",0,1)*IF($Q$30="",0,1)*$R$37*$S$37)</f>
        <v>1</v>
      </c>
      <c r="AW8" s="73">
        <f t="shared" ref="AW8:AW16" si="7">IF(Q8="",0,1)*IF(AF8="",0,1)</f>
        <v>1</v>
      </c>
      <c r="AX8" s="73"/>
      <c r="AY8" s="73">
        <f t="shared" ref="AY8:AY16" si="8">IF(BA8=0,0,($L$25/B8)^$B$30)</f>
        <v>2180.3711419753085</v>
      </c>
      <c r="AZ8" s="73">
        <f t="shared" ref="AZ8:AZ16" si="9">IF(BB8=0,0,((($AK$2/$Q$25)^$L$30*($L$25/B8)^$G$30*EXP(($Q$30/0.00008617)*(1/(L8+273.15)-1/($B$25+273.15))))))</f>
        <v>0</v>
      </c>
      <c r="BA8" s="3">
        <f t="shared" si="1"/>
        <v>1</v>
      </c>
      <c r="BB8" s="3">
        <f t="shared" si="2"/>
        <v>0</v>
      </c>
    </row>
    <row r="9" spans="1:54" ht="12" customHeight="1">
      <c r="B9" s="792">
        <v>40</v>
      </c>
      <c r="C9" s="793"/>
      <c r="D9" s="793"/>
      <c r="E9" s="793"/>
      <c r="F9" s="793"/>
      <c r="G9" s="793">
        <v>20</v>
      </c>
      <c r="H9" s="793"/>
      <c r="I9" s="793"/>
      <c r="J9" s="793"/>
      <c r="K9" s="793"/>
      <c r="L9" s="674">
        <v>70</v>
      </c>
      <c r="M9" s="674"/>
      <c r="N9" s="674"/>
      <c r="O9" s="674"/>
      <c r="P9" s="674"/>
      <c r="Q9" s="421">
        <f t="shared" si="3"/>
        <v>2920</v>
      </c>
      <c r="R9" s="421"/>
      <c r="S9" s="421"/>
      <c r="T9" s="421"/>
      <c r="U9" s="421"/>
      <c r="V9" s="790"/>
      <c r="W9" s="674"/>
      <c r="X9" s="674"/>
      <c r="Y9" s="674"/>
      <c r="Z9" s="674"/>
      <c r="AA9" s="674"/>
      <c r="AB9" s="674"/>
      <c r="AC9" s="674"/>
      <c r="AD9" s="791"/>
      <c r="AF9" s="677">
        <f t="shared" si="4"/>
        <v>689.883056640625</v>
      </c>
      <c r="AG9" s="678"/>
      <c r="AH9" s="678"/>
      <c r="AI9" s="678"/>
      <c r="AJ9" s="678"/>
      <c r="AK9" s="765"/>
      <c r="AL9" s="765"/>
      <c r="AM9" s="765"/>
      <c r="AN9" s="765"/>
      <c r="AO9" s="765"/>
      <c r="AP9" s="666">
        <f t="shared" si="5"/>
        <v>4.2326014125044544</v>
      </c>
      <c r="AQ9" s="666"/>
      <c r="AR9" s="666"/>
      <c r="AS9" s="666"/>
      <c r="AT9" s="667"/>
      <c r="AU9" s="73">
        <f>IF(G9="",0,1)*IF($AC$2="",0,1)*IF($AK$2="",0,1)</f>
        <v>1</v>
      </c>
      <c r="AV9" s="73">
        <f t="shared" si="6"/>
        <v>1</v>
      </c>
      <c r="AW9" s="73">
        <f t="shared" si="7"/>
        <v>1</v>
      </c>
      <c r="AX9" s="73"/>
      <c r="AY9" s="73">
        <f t="shared" si="8"/>
        <v>689.883056640625</v>
      </c>
      <c r="AZ9" s="73">
        <f t="shared" si="9"/>
        <v>0</v>
      </c>
      <c r="BA9" s="3">
        <f t="shared" si="1"/>
        <v>1</v>
      </c>
      <c r="BB9" s="3">
        <f t="shared" si="2"/>
        <v>0</v>
      </c>
    </row>
    <row r="10" spans="1:54" ht="12" customHeight="1">
      <c r="B10" s="668">
        <v>50</v>
      </c>
      <c r="C10" s="669"/>
      <c r="D10" s="669"/>
      <c r="E10" s="669"/>
      <c r="F10" s="670"/>
      <c r="G10" s="795">
        <v>15</v>
      </c>
      <c r="H10" s="669"/>
      <c r="I10" s="669"/>
      <c r="J10" s="669"/>
      <c r="K10" s="670"/>
      <c r="L10" s="796">
        <v>80</v>
      </c>
      <c r="M10" s="675"/>
      <c r="N10" s="675"/>
      <c r="O10" s="675"/>
      <c r="P10" s="790"/>
      <c r="Q10" s="421">
        <f t="shared" si="3"/>
        <v>2190</v>
      </c>
      <c r="R10" s="421"/>
      <c r="S10" s="421"/>
      <c r="T10" s="421"/>
      <c r="U10" s="421"/>
      <c r="V10" s="675"/>
      <c r="W10" s="672"/>
      <c r="X10" s="672"/>
      <c r="Y10" s="672"/>
      <c r="Z10" s="672"/>
      <c r="AA10" s="672"/>
      <c r="AB10" s="672"/>
      <c r="AC10" s="672"/>
      <c r="AD10" s="676"/>
      <c r="AF10" s="677">
        <f t="shared" si="4"/>
        <v>282.57609999999994</v>
      </c>
      <c r="AG10" s="678"/>
      <c r="AH10" s="678"/>
      <c r="AI10" s="678"/>
      <c r="AJ10" s="678"/>
      <c r="AK10" s="765"/>
      <c r="AL10" s="422"/>
      <c r="AM10" s="422"/>
      <c r="AN10" s="422"/>
      <c r="AO10" s="422"/>
      <c r="AP10" s="666">
        <f t="shared" si="5"/>
        <v>7.7501246566854043</v>
      </c>
      <c r="AQ10" s="666"/>
      <c r="AR10" s="666"/>
      <c r="AS10" s="666"/>
      <c r="AT10" s="667"/>
      <c r="AU10" s="73">
        <f t="shared" ref="AU10:AU16" si="10">IF(G10="",0,1)*IF($AC$2="",0,1)*IF($AK$2="",0,1)</f>
        <v>1</v>
      </c>
      <c r="AV10" s="73">
        <f t="shared" si="6"/>
        <v>1</v>
      </c>
      <c r="AW10" s="73">
        <f t="shared" si="7"/>
        <v>1</v>
      </c>
      <c r="AX10" s="73"/>
      <c r="AY10" s="73">
        <f t="shared" si="8"/>
        <v>282.57609999999994</v>
      </c>
      <c r="AZ10" s="73">
        <f t="shared" si="9"/>
        <v>0</v>
      </c>
      <c r="BA10" s="3">
        <f t="shared" si="1"/>
        <v>1</v>
      </c>
      <c r="BB10" s="3">
        <f t="shared" si="2"/>
        <v>0</v>
      </c>
    </row>
    <row r="11" spans="1:54" ht="12" customHeight="1">
      <c r="B11" s="668">
        <v>60</v>
      </c>
      <c r="C11" s="669"/>
      <c r="D11" s="669"/>
      <c r="E11" s="669"/>
      <c r="F11" s="670"/>
      <c r="G11" s="795">
        <v>10</v>
      </c>
      <c r="H11" s="669"/>
      <c r="I11" s="669"/>
      <c r="J11" s="669"/>
      <c r="K11" s="670"/>
      <c r="L11" s="796">
        <v>90</v>
      </c>
      <c r="M11" s="675"/>
      <c r="N11" s="675"/>
      <c r="O11" s="675"/>
      <c r="P11" s="790"/>
      <c r="Q11" s="421">
        <f t="shared" si="3"/>
        <v>1460</v>
      </c>
      <c r="R11" s="421"/>
      <c r="S11" s="421"/>
      <c r="T11" s="421"/>
      <c r="U11" s="421"/>
      <c r="V11" s="675"/>
      <c r="W11" s="672"/>
      <c r="X11" s="672"/>
      <c r="Y11" s="672"/>
      <c r="Z11" s="672"/>
      <c r="AA11" s="672"/>
      <c r="AB11" s="672"/>
      <c r="AC11" s="672"/>
      <c r="AD11" s="676"/>
      <c r="AF11" s="677">
        <f t="shared" si="4"/>
        <v>136.27319637345678</v>
      </c>
      <c r="AG11" s="678"/>
      <c r="AH11" s="678"/>
      <c r="AI11" s="678"/>
      <c r="AJ11" s="678"/>
      <c r="AK11" s="765"/>
      <c r="AL11" s="422"/>
      <c r="AM11" s="422"/>
      <c r="AN11" s="422"/>
      <c r="AO11" s="422"/>
      <c r="AP11" s="666">
        <f t="shared" si="5"/>
        <v>10.713772325401901</v>
      </c>
      <c r="AQ11" s="666"/>
      <c r="AR11" s="666"/>
      <c r="AS11" s="666"/>
      <c r="AT11" s="667"/>
      <c r="AU11" s="73">
        <f t="shared" si="10"/>
        <v>1</v>
      </c>
      <c r="AV11" s="73">
        <f>IF(B11="",0,1)*IF($B$25="",0,1)*IF($G$25="",0,1)*IF($Q$25="",0,1)*(IF($B$30="",0,1)*$R$36*$S$36+IF(L11="",0,1)*IF($G$30="",0,1)*IF($L$30="",0,1)*IF($Q$30="",0,1)*$R$37*$S$37)</f>
        <v>1</v>
      </c>
      <c r="AW11" s="73">
        <f t="shared" si="7"/>
        <v>1</v>
      </c>
      <c r="AX11" s="73"/>
      <c r="AY11" s="73">
        <f t="shared" si="8"/>
        <v>136.27319637345678</v>
      </c>
      <c r="AZ11" s="73">
        <f t="shared" si="9"/>
        <v>0</v>
      </c>
      <c r="BA11" s="3">
        <f>IF(B11="",0,1)*$R$36</f>
        <v>1</v>
      </c>
      <c r="BB11" s="3">
        <f>IF(B11="",0,1)*IF(B11="",0,1)*IF(L11="",0,1)*IF($Q$25="",0,1)*$R$37</f>
        <v>0</v>
      </c>
    </row>
    <row r="12" spans="1:54" ht="12" customHeight="1">
      <c r="B12" s="668">
        <v>70</v>
      </c>
      <c r="C12" s="669"/>
      <c r="D12" s="669"/>
      <c r="E12" s="669"/>
      <c r="F12" s="670"/>
      <c r="G12" s="795">
        <v>10</v>
      </c>
      <c r="H12" s="669"/>
      <c r="I12" s="669"/>
      <c r="J12" s="669"/>
      <c r="K12" s="670"/>
      <c r="L12" s="796">
        <v>100</v>
      </c>
      <c r="M12" s="675"/>
      <c r="N12" s="675"/>
      <c r="O12" s="675"/>
      <c r="P12" s="790"/>
      <c r="Q12" s="421">
        <f t="shared" si="3"/>
        <v>1460</v>
      </c>
      <c r="R12" s="421"/>
      <c r="S12" s="421"/>
      <c r="T12" s="421"/>
      <c r="U12" s="421"/>
      <c r="V12" s="675"/>
      <c r="W12" s="672"/>
      <c r="X12" s="672"/>
      <c r="Y12" s="672"/>
      <c r="Z12" s="672"/>
      <c r="AA12" s="672"/>
      <c r="AB12" s="672"/>
      <c r="AC12" s="672"/>
      <c r="AD12" s="676"/>
      <c r="AF12" s="677">
        <f t="shared" si="4"/>
        <v>73.556877342773817</v>
      </c>
      <c r="AG12" s="678"/>
      <c r="AH12" s="678"/>
      <c r="AI12" s="678"/>
      <c r="AJ12" s="678"/>
      <c r="AK12" s="765"/>
      <c r="AL12" s="422"/>
      <c r="AM12" s="422"/>
      <c r="AN12" s="422"/>
      <c r="AO12" s="422"/>
      <c r="AP12" s="666">
        <f t="shared" si="5"/>
        <v>19.848585920748437</v>
      </c>
      <c r="AQ12" s="666"/>
      <c r="AR12" s="666"/>
      <c r="AS12" s="666"/>
      <c r="AT12" s="667"/>
      <c r="AU12" s="73">
        <f t="shared" si="10"/>
        <v>1</v>
      </c>
      <c r="AV12" s="73">
        <f t="shared" si="6"/>
        <v>1</v>
      </c>
      <c r="AW12" s="73">
        <f t="shared" si="7"/>
        <v>1</v>
      </c>
      <c r="AX12" s="73"/>
      <c r="AY12" s="73">
        <f t="shared" si="8"/>
        <v>73.556877342773817</v>
      </c>
      <c r="AZ12" s="73">
        <f t="shared" si="9"/>
        <v>0</v>
      </c>
      <c r="BA12" s="3">
        <f t="shared" si="1"/>
        <v>1</v>
      </c>
      <c r="BB12" s="3">
        <f t="shared" si="2"/>
        <v>0</v>
      </c>
    </row>
    <row r="13" spans="1:54" ht="12" customHeight="1">
      <c r="B13" s="792">
        <v>80</v>
      </c>
      <c r="C13" s="793"/>
      <c r="D13" s="793"/>
      <c r="E13" s="793"/>
      <c r="F13" s="793"/>
      <c r="G13" s="794">
        <v>10</v>
      </c>
      <c r="H13" s="794"/>
      <c r="I13" s="794"/>
      <c r="J13" s="794"/>
      <c r="K13" s="794"/>
      <c r="L13" s="674">
        <v>110</v>
      </c>
      <c r="M13" s="674"/>
      <c r="N13" s="674"/>
      <c r="O13" s="674"/>
      <c r="P13" s="674"/>
      <c r="Q13" s="421">
        <f t="shared" si="3"/>
        <v>1460</v>
      </c>
      <c r="R13" s="421"/>
      <c r="S13" s="421"/>
      <c r="T13" s="421"/>
      <c r="U13" s="421"/>
      <c r="V13" s="790"/>
      <c r="W13" s="674"/>
      <c r="X13" s="674"/>
      <c r="Y13" s="674"/>
      <c r="Z13" s="674"/>
      <c r="AA13" s="674"/>
      <c r="AB13" s="674"/>
      <c r="AC13" s="674"/>
      <c r="AD13" s="791"/>
      <c r="AF13" s="677">
        <f t="shared" si="4"/>
        <v>43.117691040039063</v>
      </c>
      <c r="AG13" s="678"/>
      <c r="AH13" s="678"/>
      <c r="AI13" s="678"/>
      <c r="AJ13" s="678"/>
      <c r="AK13" s="765"/>
      <c r="AL13" s="765"/>
      <c r="AM13" s="765"/>
      <c r="AN13" s="765"/>
      <c r="AO13" s="765"/>
      <c r="AP13" s="666">
        <f t="shared" si="5"/>
        <v>33.860811300035635</v>
      </c>
      <c r="AQ13" s="666"/>
      <c r="AR13" s="666"/>
      <c r="AS13" s="666"/>
      <c r="AT13" s="667"/>
      <c r="AU13" s="73">
        <f t="shared" si="10"/>
        <v>1</v>
      </c>
      <c r="AV13" s="73">
        <f t="shared" si="6"/>
        <v>1</v>
      </c>
      <c r="AW13" s="73">
        <f t="shared" si="7"/>
        <v>1</v>
      </c>
      <c r="AX13" s="73"/>
      <c r="AY13" s="73">
        <f t="shared" si="8"/>
        <v>43.117691040039063</v>
      </c>
      <c r="AZ13" s="73">
        <f t="shared" si="9"/>
        <v>0</v>
      </c>
      <c r="BA13" s="3">
        <f t="shared" si="1"/>
        <v>1</v>
      </c>
      <c r="BB13" s="3">
        <f t="shared" si="2"/>
        <v>0</v>
      </c>
    </row>
    <row r="14" spans="1:54" ht="12" customHeight="1">
      <c r="B14" s="668"/>
      <c r="C14" s="669"/>
      <c r="D14" s="669"/>
      <c r="E14" s="669"/>
      <c r="F14" s="670"/>
      <c r="G14" s="671"/>
      <c r="H14" s="672"/>
      <c r="I14" s="672"/>
      <c r="J14" s="672"/>
      <c r="K14" s="673"/>
      <c r="L14" s="674"/>
      <c r="M14" s="674"/>
      <c r="N14" s="674"/>
      <c r="O14" s="674"/>
      <c r="P14" s="674"/>
      <c r="Q14" s="421" t="str">
        <f t="shared" si="3"/>
        <v/>
      </c>
      <c r="R14" s="421"/>
      <c r="S14" s="421"/>
      <c r="T14" s="421"/>
      <c r="U14" s="421"/>
      <c r="V14" s="675"/>
      <c r="W14" s="672"/>
      <c r="X14" s="672"/>
      <c r="Y14" s="672"/>
      <c r="Z14" s="672"/>
      <c r="AA14" s="672"/>
      <c r="AB14" s="672"/>
      <c r="AC14" s="672"/>
      <c r="AD14" s="676"/>
      <c r="AF14" s="677" t="str">
        <f t="shared" si="4"/>
        <v/>
      </c>
      <c r="AG14" s="678"/>
      <c r="AH14" s="678"/>
      <c r="AI14" s="678"/>
      <c r="AJ14" s="678"/>
      <c r="AK14" s="765"/>
      <c r="AL14" s="422"/>
      <c r="AM14" s="422"/>
      <c r="AN14" s="422"/>
      <c r="AO14" s="422"/>
      <c r="AP14" s="666" t="str">
        <f t="shared" si="5"/>
        <v/>
      </c>
      <c r="AQ14" s="666"/>
      <c r="AR14" s="666"/>
      <c r="AS14" s="666"/>
      <c r="AT14" s="667"/>
      <c r="AU14" s="73">
        <f t="shared" si="10"/>
        <v>0</v>
      </c>
      <c r="AV14" s="73">
        <f t="shared" si="6"/>
        <v>0</v>
      </c>
      <c r="AW14" s="73">
        <f t="shared" si="7"/>
        <v>0</v>
      </c>
      <c r="AX14" s="73"/>
      <c r="AY14" s="73">
        <f t="shared" si="8"/>
        <v>0</v>
      </c>
      <c r="AZ14" s="73">
        <f t="shared" si="9"/>
        <v>0</v>
      </c>
      <c r="BA14" s="3">
        <f t="shared" si="1"/>
        <v>0</v>
      </c>
      <c r="BB14" s="3">
        <f t="shared" si="2"/>
        <v>0</v>
      </c>
    </row>
    <row r="15" spans="1:54" ht="12" customHeight="1">
      <c r="B15" s="668"/>
      <c r="C15" s="669"/>
      <c r="D15" s="669"/>
      <c r="E15" s="669"/>
      <c r="F15" s="670"/>
      <c r="G15" s="671"/>
      <c r="H15" s="672"/>
      <c r="I15" s="672"/>
      <c r="J15" s="672"/>
      <c r="K15" s="673"/>
      <c r="L15" s="674"/>
      <c r="M15" s="674"/>
      <c r="N15" s="674"/>
      <c r="O15" s="674"/>
      <c r="P15" s="674"/>
      <c r="Q15" s="421" t="str">
        <f t="shared" si="3"/>
        <v/>
      </c>
      <c r="R15" s="421"/>
      <c r="S15" s="421"/>
      <c r="T15" s="421"/>
      <c r="U15" s="421"/>
      <c r="V15" s="675"/>
      <c r="W15" s="672"/>
      <c r="X15" s="672"/>
      <c r="Y15" s="672"/>
      <c r="Z15" s="672"/>
      <c r="AA15" s="672"/>
      <c r="AB15" s="672"/>
      <c r="AC15" s="672"/>
      <c r="AD15" s="676"/>
      <c r="AF15" s="677" t="str">
        <f t="shared" si="4"/>
        <v/>
      </c>
      <c r="AG15" s="678"/>
      <c r="AH15" s="678"/>
      <c r="AI15" s="678"/>
      <c r="AJ15" s="678"/>
      <c r="AK15" s="765"/>
      <c r="AL15" s="422"/>
      <c r="AM15" s="422"/>
      <c r="AN15" s="422"/>
      <c r="AO15" s="422"/>
      <c r="AP15" s="666" t="str">
        <f t="shared" si="5"/>
        <v/>
      </c>
      <c r="AQ15" s="666"/>
      <c r="AR15" s="666"/>
      <c r="AS15" s="666"/>
      <c r="AT15" s="667"/>
      <c r="AU15" s="73">
        <f t="shared" si="10"/>
        <v>0</v>
      </c>
      <c r="AV15" s="73">
        <f t="shared" si="6"/>
        <v>0</v>
      </c>
      <c r="AW15" s="73">
        <f t="shared" si="7"/>
        <v>0</v>
      </c>
      <c r="AX15" s="73"/>
      <c r="AY15" s="73">
        <f t="shared" si="8"/>
        <v>0</v>
      </c>
      <c r="AZ15" s="73">
        <f t="shared" si="9"/>
        <v>0</v>
      </c>
      <c r="BA15" s="3">
        <f t="shared" si="1"/>
        <v>0</v>
      </c>
      <c r="BB15" s="3">
        <f t="shared" si="2"/>
        <v>0</v>
      </c>
    </row>
    <row r="16" spans="1:54" ht="12" customHeight="1" thickBot="1">
      <c r="B16" s="774"/>
      <c r="C16" s="424"/>
      <c r="D16" s="424"/>
      <c r="E16" s="424"/>
      <c r="F16" s="424"/>
      <c r="G16" s="775"/>
      <c r="H16" s="775"/>
      <c r="I16" s="775"/>
      <c r="J16" s="775"/>
      <c r="K16" s="775"/>
      <c r="L16" s="744"/>
      <c r="M16" s="744"/>
      <c r="N16" s="744"/>
      <c r="O16" s="744"/>
      <c r="P16" s="744"/>
      <c r="Q16" s="418" t="str">
        <f t="shared" si="3"/>
        <v/>
      </c>
      <c r="R16" s="418"/>
      <c r="S16" s="418"/>
      <c r="T16" s="418"/>
      <c r="U16" s="418"/>
      <c r="V16" s="607"/>
      <c r="W16" s="744"/>
      <c r="X16" s="744"/>
      <c r="Y16" s="744"/>
      <c r="Z16" s="744"/>
      <c r="AA16" s="744"/>
      <c r="AB16" s="744"/>
      <c r="AC16" s="744"/>
      <c r="AD16" s="756"/>
      <c r="AF16" s="757" t="str">
        <f t="shared" si="4"/>
        <v/>
      </c>
      <c r="AG16" s="758"/>
      <c r="AH16" s="758"/>
      <c r="AI16" s="758"/>
      <c r="AJ16" s="758"/>
      <c r="AK16" s="771"/>
      <c r="AL16" s="771"/>
      <c r="AM16" s="771"/>
      <c r="AN16" s="771"/>
      <c r="AO16" s="771"/>
      <c r="AP16" s="772" t="str">
        <f t="shared" si="5"/>
        <v/>
      </c>
      <c r="AQ16" s="772"/>
      <c r="AR16" s="772"/>
      <c r="AS16" s="772"/>
      <c r="AT16" s="773"/>
      <c r="AU16" s="73">
        <f t="shared" si="10"/>
        <v>0</v>
      </c>
      <c r="AV16" s="73">
        <f t="shared" si="6"/>
        <v>0</v>
      </c>
      <c r="AW16" s="73">
        <f t="shared" si="7"/>
        <v>0</v>
      </c>
      <c r="AX16" s="73"/>
      <c r="AY16" s="73">
        <f t="shared" si="8"/>
        <v>0</v>
      </c>
      <c r="AZ16" s="73">
        <f t="shared" si="9"/>
        <v>0</v>
      </c>
      <c r="BA16" s="3">
        <f>IF(B16="",0,1)*$R$36</f>
        <v>0</v>
      </c>
      <c r="BB16" s="3">
        <f>IF(B16="",0,1)*IF(B16="",0,1)*IF(L16="",0,1)*IF($Q$25="",0,1)*$R$37</f>
        <v>0</v>
      </c>
    </row>
    <row r="17" spans="2:51" ht="12" customHeight="1" thickBot="1">
      <c r="B17" s="776" t="s">
        <v>2</v>
      </c>
      <c r="C17" s="777"/>
      <c r="D17" s="777"/>
      <c r="E17" s="777"/>
      <c r="F17" s="778"/>
      <c r="G17" s="779">
        <f>SUM(G7:K16)</f>
        <v>100</v>
      </c>
      <c r="H17" s="780"/>
      <c r="I17" s="780"/>
      <c r="J17" s="781" t="s">
        <v>69</v>
      </c>
      <c r="K17" s="782"/>
      <c r="L17" s="759"/>
      <c r="M17" s="760"/>
      <c r="N17" s="760"/>
      <c r="O17" s="760"/>
      <c r="P17" s="760"/>
      <c r="Q17" s="761">
        <f>SUM(Q7:U16)</f>
        <v>14600</v>
      </c>
      <c r="R17" s="762"/>
      <c r="S17" s="762"/>
      <c r="T17" s="763" t="s">
        <v>168</v>
      </c>
      <c r="U17" s="764"/>
      <c r="AF17" s="9"/>
      <c r="AG17" s="9"/>
      <c r="AH17" s="9"/>
      <c r="AI17" s="9"/>
      <c r="AJ17" s="9"/>
      <c r="AK17" s="481" t="s">
        <v>60</v>
      </c>
      <c r="AL17" s="482"/>
      <c r="AM17" s="482"/>
      <c r="AN17" s="482"/>
      <c r="AO17" s="482"/>
      <c r="AP17" s="766">
        <f>SUM(AP7:AT16)</f>
        <v>77.943520347262222</v>
      </c>
      <c r="AQ17" s="766"/>
      <c r="AR17" s="766"/>
      <c r="AS17" s="766"/>
      <c r="AT17" s="767"/>
    </row>
    <row r="18" spans="2:51" ht="5" customHeight="1" thickBot="1"/>
    <row r="19" spans="2:51" ht="12" customHeight="1" thickBot="1">
      <c r="B19" s="768"/>
      <c r="C19" s="769"/>
      <c r="D19" s="769"/>
      <c r="E19" s="769"/>
      <c r="F19" s="769"/>
      <c r="G19" s="769"/>
      <c r="H19" s="769"/>
      <c r="I19" s="769"/>
      <c r="J19" s="769"/>
      <c r="K19" s="769"/>
      <c r="L19" s="769"/>
      <c r="M19" s="769"/>
      <c r="N19" s="769"/>
      <c r="O19" s="769"/>
      <c r="P19" s="769"/>
      <c r="Q19" s="769"/>
      <c r="R19" s="769"/>
      <c r="S19" s="769"/>
      <c r="T19" s="769"/>
      <c r="U19" s="770"/>
      <c r="X19" s="748" t="s">
        <v>116</v>
      </c>
      <c r="Y19" s="749"/>
      <c r="Z19" s="749"/>
      <c r="AA19" s="749"/>
      <c r="AB19" s="749"/>
      <c r="AC19" s="749"/>
      <c r="AD19" s="749"/>
      <c r="AE19" s="749"/>
      <c r="AF19" s="749"/>
      <c r="AG19" s="749"/>
      <c r="AH19" s="749"/>
      <c r="AI19" s="749"/>
      <c r="AJ19" s="749"/>
      <c r="AK19" s="749"/>
      <c r="AL19" s="749"/>
      <c r="AM19" s="750"/>
    </row>
    <row r="20" spans="2:51" ht="12" customHeight="1" thickBot="1">
      <c r="B20" s="754"/>
      <c r="C20" s="740"/>
      <c r="D20" s="740"/>
      <c r="E20" s="740"/>
      <c r="F20" s="755"/>
      <c r="G20" s="739"/>
      <c r="H20" s="740"/>
      <c r="I20" s="740"/>
      <c r="J20" s="740"/>
      <c r="K20" s="755"/>
      <c r="L20" s="739"/>
      <c r="M20" s="740"/>
      <c r="N20" s="740"/>
      <c r="O20" s="740"/>
      <c r="P20" s="755"/>
      <c r="Q20" s="739"/>
      <c r="R20" s="740"/>
      <c r="S20" s="740"/>
      <c r="T20" s="740"/>
      <c r="U20" s="741"/>
      <c r="X20" s="751"/>
      <c r="Y20" s="752"/>
      <c r="Z20" s="752"/>
      <c r="AA20" s="752"/>
      <c r="AB20" s="752"/>
      <c r="AC20" s="752"/>
      <c r="AD20" s="752"/>
      <c r="AE20" s="752"/>
      <c r="AF20" s="752"/>
      <c r="AG20" s="752"/>
      <c r="AH20" s="752"/>
      <c r="AI20" s="752"/>
      <c r="AJ20" s="752"/>
      <c r="AK20" s="752"/>
      <c r="AL20" s="752"/>
      <c r="AM20" s="753"/>
      <c r="AW20" s="10"/>
    </row>
    <row r="21" spans="2:51" ht="12" customHeight="1" thickBot="1">
      <c r="B21" s="742"/>
      <c r="C21" s="633"/>
      <c r="D21" s="633"/>
      <c r="E21" s="633"/>
      <c r="F21" s="743"/>
      <c r="G21" s="632"/>
      <c r="H21" s="633"/>
      <c r="I21" s="633"/>
      <c r="J21" s="633"/>
      <c r="K21" s="743"/>
      <c r="L21" s="632"/>
      <c r="M21" s="633"/>
      <c r="N21" s="633"/>
      <c r="O21" s="633"/>
      <c r="P21" s="743"/>
      <c r="Q21" s="632"/>
      <c r="R21" s="633"/>
      <c r="S21" s="633"/>
      <c r="T21" s="633"/>
      <c r="U21" s="634"/>
      <c r="X21" s="745">
        <f>AP17</f>
        <v>77.943520347262222</v>
      </c>
      <c r="Y21" s="746"/>
      <c r="Z21" s="746"/>
      <c r="AA21" s="746"/>
      <c r="AB21" s="746"/>
      <c r="AC21" s="746"/>
      <c r="AD21" s="746"/>
      <c r="AE21" s="746"/>
      <c r="AF21" s="746"/>
      <c r="AG21" s="746"/>
      <c r="AH21" s="746"/>
      <c r="AI21" s="746"/>
      <c r="AJ21" s="746"/>
      <c r="AK21" s="746"/>
      <c r="AL21" s="746"/>
      <c r="AM21" s="747"/>
    </row>
    <row r="22" spans="2:51" ht="5" customHeight="1" thickBot="1"/>
    <row r="23" spans="2:51" ht="12" customHeight="1">
      <c r="B23" s="687" t="s">
        <v>70</v>
      </c>
      <c r="C23" s="688"/>
      <c r="D23" s="688"/>
      <c r="E23" s="688"/>
      <c r="F23" s="688"/>
      <c r="G23" s="688"/>
      <c r="H23" s="688"/>
      <c r="I23" s="688"/>
      <c r="J23" s="688"/>
      <c r="K23" s="688"/>
      <c r="L23" s="688"/>
      <c r="M23" s="688"/>
      <c r="N23" s="688"/>
      <c r="O23" s="688"/>
      <c r="P23" s="688"/>
      <c r="Q23" s="688"/>
      <c r="R23" s="688"/>
      <c r="S23" s="688"/>
      <c r="T23" s="688"/>
      <c r="U23" s="689"/>
      <c r="X23" s="163" t="s">
        <v>63</v>
      </c>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5"/>
    </row>
    <row r="24" spans="2:51" ht="12" customHeight="1">
      <c r="B24" s="690" t="s">
        <v>28</v>
      </c>
      <c r="C24" s="450"/>
      <c r="D24" s="450"/>
      <c r="E24" s="450"/>
      <c r="F24" s="691"/>
      <c r="G24" s="692" t="s">
        <v>29</v>
      </c>
      <c r="H24" s="574"/>
      <c r="I24" s="574"/>
      <c r="J24" s="574"/>
      <c r="K24" s="575"/>
      <c r="L24" s="715" t="s">
        <v>61</v>
      </c>
      <c r="M24" s="716"/>
      <c r="N24" s="716"/>
      <c r="O24" s="716"/>
      <c r="P24" s="717"/>
      <c r="Q24" s="718" t="s">
        <v>77</v>
      </c>
      <c r="R24" s="719"/>
      <c r="S24" s="719"/>
      <c r="T24" s="719"/>
      <c r="U24" s="720"/>
      <c r="X24" s="375" t="s">
        <v>127</v>
      </c>
      <c r="Y24" s="376"/>
      <c r="Z24" s="376"/>
      <c r="AA24" s="376"/>
      <c r="AB24" s="376"/>
      <c r="AC24" s="376"/>
      <c r="AD24" s="376"/>
      <c r="AE24" s="376"/>
      <c r="AF24" s="376"/>
      <c r="AG24" s="376"/>
      <c r="AH24" s="376"/>
      <c r="AI24" s="376"/>
      <c r="AJ24" s="376"/>
      <c r="AK24" s="376"/>
      <c r="AL24" s="376"/>
      <c r="AM24" s="376"/>
      <c r="AN24" s="376"/>
      <c r="AO24" s="376"/>
      <c r="AP24" s="376"/>
      <c r="AQ24" s="376"/>
      <c r="AR24" s="376"/>
      <c r="AS24" s="376"/>
      <c r="AT24" s="377"/>
      <c r="AY24" s="11"/>
    </row>
    <row r="25" spans="2:51" ht="12" customHeight="1" thickBot="1">
      <c r="B25" s="456">
        <v>150</v>
      </c>
      <c r="C25" s="383"/>
      <c r="D25" s="383"/>
      <c r="E25" s="383"/>
      <c r="F25" s="387"/>
      <c r="G25" s="382">
        <v>-55</v>
      </c>
      <c r="H25" s="383"/>
      <c r="I25" s="383"/>
      <c r="J25" s="383"/>
      <c r="K25" s="387"/>
      <c r="L25" s="729">
        <f>B25-G25</f>
        <v>205</v>
      </c>
      <c r="M25" s="730"/>
      <c r="N25" s="730"/>
      <c r="O25" s="730"/>
      <c r="P25" s="731"/>
      <c r="Q25" s="732">
        <v>72</v>
      </c>
      <c r="R25" s="733"/>
      <c r="S25" s="733"/>
      <c r="T25" s="733"/>
      <c r="U25" s="734"/>
      <c r="X25" s="684"/>
      <c r="Y25" s="685"/>
      <c r="Z25" s="685"/>
      <c r="AA25" s="685"/>
      <c r="AB25" s="685"/>
      <c r="AC25" s="685"/>
      <c r="AD25" s="685"/>
      <c r="AE25" s="685"/>
      <c r="AF25" s="685"/>
      <c r="AG25" s="685"/>
      <c r="AH25" s="685"/>
      <c r="AI25" s="685"/>
      <c r="AJ25" s="685"/>
      <c r="AK25" s="685"/>
      <c r="AL25" s="685"/>
      <c r="AM25" s="685"/>
      <c r="AN25" s="685"/>
      <c r="AO25" s="685"/>
      <c r="AP25" s="685"/>
      <c r="AQ25" s="685"/>
      <c r="AR25" s="685"/>
      <c r="AS25" s="685"/>
      <c r="AT25" s="686"/>
    </row>
    <row r="26" spans="2:51" ht="12" customHeight="1" thickBot="1">
      <c r="X26" s="99" t="str">
        <f ca="1">IF(AE36=0," * This sheet is not available, please see the top sheet.","")</f>
        <v/>
      </c>
      <c r="Y26" s="97"/>
      <c r="Z26" s="97"/>
      <c r="AA26" s="97"/>
      <c r="AB26" s="97"/>
      <c r="AC26" s="97"/>
      <c r="AD26" s="97"/>
      <c r="AE26" s="97"/>
      <c r="AF26" s="97"/>
      <c r="AG26" s="97"/>
      <c r="AH26" s="97"/>
      <c r="AI26" s="97"/>
      <c r="AJ26" s="97"/>
      <c r="AK26" s="97"/>
      <c r="AL26" s="97"/>
      <c r="AM26" s="97"/>
      <c r="AN26" s="97"/>
      <c r="AO26" s="97"/>
      <c r="AP26" s="97"/>
      <c r="AQ26" s="97"/>
      <c r="AR26" s="97"/>
      <c r="AS26" s="19"/>
      <c r="AT26" s="20"/>
      <c r="AX26" s="3" ph="1"/>
    </row>
    <row r="27" spans="2:51" ht="12" customHeight="1">
      <c r="B27" s="735" t="s">
        <v>64</v>
      </c>
      <c r="C27" s="736"/>
      <c r="D27" s="736"/>
      <c r="E27" s="736"/>
      <c r="F27" s="736"/>
      <c r="G27" s="736"/>
      <c r="H27" s="736"/>
      <c r="I27" s="737"/>
      <c r="J27" s="737"/>
      <c r="K27" s="737"/>
      <c r="L27" s="737"/>
      <c r="M27" s="737"/>
      <c r="N27" s="737"/>
      <c r="O27" s="737"/>
      <c r="P27" s="737"/>
      <c r="Q27" s="737"/>
      <c r="R27" s="737"/>
      <c r="S27" s="737"/>
      <c r="T27" s="737"/>
      <c r="U27" s="738"/>
      <c r="X27" s="12"/>
      <c r="Y27" s="437" t="s">
        <v>23</v>
      </c>
      <c r="Z27" s="438"/>
      <c r="AA27" s="438"/>
      <c r="AB27" s="439"/>
      <c r="AC27" s="192" t="s">
        <v>24</v>
      </c>
      <c r="AD27" s="391"/>
      <c r="AE27" s="391"/>
      <c r="AF27" s="392"/>
      <c r="AG27" s="192" t="s">
        <v>27</v>
      </c>
      <c r="AH27" s="391"/>
      <c r="AI27" s="391"/>
      <c r="AJ27" s="396"/>
      <c r="AK27" s="5"/>
      <c r="AL27" s="436" t="s">
        <v>24</v>
      </c>
      <c r="AM27" s="391"/>
      <c r="AN27" s="391"/>
      <c r="AO27" s="392"/>
      <c r="AP27" s="192" t="s">
        <v>27</v>
      </c>
      <c r="AQ27" s="391"/>
      <c r="AR27" s="391"/>
      <c r="AS27" s="396"/>
      <c r="AT27" s="13"/>
    </row>
    <row r="28" spans="2:51" ht="12" customHeight="1" thickBot="1">
      <c r="B28" s="726" t="s">
        <v>89</v>
      </c>
      <c r="C28" s="727"/>
      <c r="D28" s="727"/>
      <c r="E28" s="727"/>
      <c r="F28" s="727"/>
      <c r="G28" s="727"/>
      <c r="H28" s="727"/>
      <c r="I28" s="727"/>
      <c r="J28" s="727"/>
      <c r="K28" s="727"/>
      <c r="L28" s="727"/>
      <c r="M28" s="727"/>
      <c r="N28" s="727"/>
      <c r="O28" s="727"/>
      <c r="P28" s="727"/>
      <c r="Q28" s="727"/>
      <c r="R28" s="727"/>
      <c r="S28" s="727"/>
      <c r="T28" s="727"/>
      <c r="U28" s="728"/>
      <c r="X28" s="12"/>
      <c r="Y28" s="708"/>
      <c r="Z28" s="709"/>
      <c r="AA28" s="709"/>
      <c r="AB28" s="710"/>
      <c r="AC28" s="434"/>
      <c r="AD28" s="416"/>
      <c r="AE28" s="416"/>
      <c r="AF28" s="417"/>
      <c r="AG28" s="434"/>
      <c r="AH28" s="416"/>
      <c r="AI28" s="416"/>
      <c r="AJ28" s="435"/>
      <c r="AK28" s="5"/>
      <c r="AL28" s="415"/>
      <c r="AM28" s="416"/>
      <c r="AN28" s="416"/>
      <c r="AO28" s="417"/>
      <c r="AP28" s="434"/>
      <c r="AQ28" s="416"/>
      <c r="AR28" s="416"/>
      <c r="AS28" s="435"/>
      <c r="AT28" s="13"/>
    </row>
    <row r="29" spans="2:51" ht="12" customHeight="1" thickBot="1">
      <c r="B29" s="721" t="s">
        <v>30</v>
      </c>
      <c r="C29" s="722"/>
      <c r="D29" s="722"/>
      <c r="E29" s="722"/>
      <c r="F29" s="723"/>
      <c r="G29" s="724" t="s">
        <v>78</v>
      </c>
      <c r="H29" s="722"/>
      <c r="I29" s="722"/>
      <c r="J29" s="722"/>
      <c r="K29" s="723"/>
      <c r="L29" s="724" t="s">
        <v>81</v>
      </c>
      <c r="M29" s="722"/>
      <c r="N29" s="722"/>
      <c r="O29" s="722"/>
      <c r="P29" s="723"/>
      <c r="Q29" s="724" t="s">
        <v>7</v>
      </c>
      <c r="R29" s="722"/>
      <c r="S29" s="722"/>
      <c r="T29" s="722"/>
      <c r="U29" s="725"/>
      <c r="X29" s="12"/>
      <c r="Y29" s="704">
        <v>1</v>
      </c>
      <c r="Z29" s="705"/>
      <c r="AA29" s="705"/>
      <c r="AB29" s="706"/>
      <c r="AC29" s="659">
        <f>IF(Y29="","",IF($AV$29=0,"",ROUNDUP(LN(1-$P$34/100)/LN(1-Y29/100),0)))</f>
        <v>230</v>
      </c>
      <c r="AD29" s="660"/>
      <c r="AE29" s="660"/>
      <c r="AF29" s="661"/>
      <c r="AG29" s="659">
        <f>IF(Y29="","",IF($AV$29=0,"",ROUNDUP($X$21*((1/AC29)*LN(1-$P$34/100)/LN(1-$B$34/100))^(1/$I$34),0)))</f>
        <v>139</v>
      </c>
      <c r="AH29" s="660"/>
      <c r="AI29" s="660"/>
      <c r="AJ29" s="707"/>
      <c r="AK29" s="5"/>
      <c r="AL29" s="157">
        <v>45</v>
      </c>
      <c r="AM29" s="158"/>
      <c r="AN29" s="158"/>
      <c r="AO29" s="159"/>
      <c r="AP29" s="160">
        <f>IF(AL29="","",IF(AV29=0,"",ROUNDUP($X$21*(((1/$AL$29)*LN(1-$P$34/100))/LN(1-$B$34/100))^(1/$I$34),0)))</f>
        <v>209</v>
      </c>
      <c r="AQ29" s="161"/>
      <c r="AR29" s="161"/>
      <c r="AS29" s="162"/>
      <c r="AT29" s="13"/>
      <c r="AV29" s="3">
        <f>IF(B34="",0,1)*IF(I34="",0,1)*IF(P34="",0,1)</f>
        <v>1</v>
      </c>
    </row>
    <row r="30" spans="2:51" ht="12" customHeight="1" thickBot="1">
      <c r="B30" s="611">
        <v>4</v>
      </c>
      <c r="C30" s="606"/>
      <c r="D30" s="606"/>
      <c r="E30" s="606"/>
      <c r="F30" s="607"/>
      <c r="G30" s="605">
        <v>2</v>
      </c>
      <c r="H30" s="606"/>
      <c r="I30" s="606"/>
      <c r="J30" s="606"/>
      <c r="K30" s="607"/>
      <c r="L30" s="605">
        <v>0.3</v>
      </c>
      <c r="M30" s="606"/>
      <c r="N30" s="606"/>
      <c r="O30" s="606"/>
      <c r="P30" s="607"/>
      <c r="Q30" s="605">
        <v>0.1</v>
      </c>
      <c r="R30" s="606"/>
      <c r="S30" s="606"/>
      <c r="T30" s="606"/>
      <c r="U30" s="711"/>
      <c r="X30" s="12"/>
      <c r="Y30" s="683">
        <v>2</v>
      </c>
      <c r="Z30" s="672"/>
      <c r="AA30" s="672"/>
      <c r="AB30" s="673"/>
      <c r="AC30" s="679">
        <f>IF(Y30="","",IF($AV$29=0,"",ROUNDUP(LN(1-$P$34/100)/LN(1-Y30/100),0)))</f>
        <v>114</v>
      </c>
      <c r="AD30" s="680"/>
      <c r="AE30" s="680"/>
      <c r="AF30" s="681"/>
      <c r="AG30" s="679">
        <f>IF(Y30="","",IF($AV$29=0,"",ROUNDUP($X$21*((1/AC30)*LN(1-$P$34/100)/LN(1-$B$34/100))^(1/$I$34),0)))</f>
        <v>166</v>
      </c>
      <c r="AH30" s="680"/>
      <c r="AI30" s="680"/>
      <c r="AJ30" s="682"/>
      <c r="AK30" s="5"/>
      <c r="AL30" s="14"/>
      <c r="AM30" s="14"/>
      <c r="AN30" s="14"/>
      <c r="AO30" s="14"/>
      <c r="AP30" s="14"/>
      <c r="AQ30" s="14"/>
      <c r="AR30" s="14"/>
      <c r="AS30" s="14"/>
      <c r="AT30" s="13"/>
    </row>
    <row r="31" spans="2:51" ht="12" customHeight="1" thickBot="1">
      <c r="X31" s="12"/>
      <c r="Y31" s="683">
        <v>5</v>
      </c>
      <c r="Z31" s="672"/>
      <c r="AA31" s="672"/>
      <c r="AB31" s="673"/>
      <c r="AC31" s="679">
        <f t="shared" ref="AC31:AC33" si="11">IF(Y31="","",IF($AV$29=0,"",ROUNDUP(LN(1-$P$34/100)/LN(1-Y31/100),0)))</f>
        <v>45</v>
      </c>
      <c r="AD31" s="680"/>
      <c r="AE31" s="680"/>
      <c r="AF31" s="681"/>
      <c r="AG31" s="679">
        <f t="shared" ref="AG31:AG33" si="12">IF(Y31="","",IF($AV$29=0,"",ROUNDUP($X$21*((1/AC31)*LN(1-$P$34/100)/LN(1-$B$34/100))^(1/$I$34),0)))</f>
        <v>209</v>
      </c>
      <c r="AH31" s="680"/>
      <c r="AI31" s="680"/>
      <c r="AJ31" s="682"/>
      <c r="AK31" s="5"/>
      <c r="AL31" s="186" t="s">
        <v>31</v>
      </c>
      <c r="AM31" s="391"/>
      <c r="AN31" s="391"/>
      <c r="AO31" s="392"/>
      <c r="AP31" s="192" t="s">
        <v>24</v>
      </c>
      <c r="AQ31" s="391"/>
      <c r="AR31" s="391"/>
      <c r="AS31" s="396"/>
      <c r="AT31" s="13"/>
    </row>
    <row r="32" spans="2:51" ht="12" customHeight="1" thickBot="1">
      <c r="B32" s="646" t="s">
        <v>17</v>
      </c>
      <c r="C32" s="696"/>
      <c r="D32" s="696"/>
      <c r="E32" s="696"/>
      <c r="F32" s="696"/>
      <c r="G32" s="696"/>
      <c r="H32" s="697"/>
      <c r="I32" s="649" t="s">
        <v>25</v>
      </c>
      <c r="J32" s="696"/>
      <c r="K32" s="696"/>
      <c r="L32" s="696"/>
      <c r="M32" s="696"/>
      <c r="N32" s="696"/>
      <c r="O32" s="697"/>
      <c r="P32" s="649" t="s">
        <v>26</v>
      </c>
      <c r="Q32" s="696"/>
      <c r="R32" s="696"/>
      <c r="S32" s="696"/>
      <c r="T32" s="696"/>
      <c r="U32" s="702"/>
      <c r="X32" s="12"/>
      <c r="Y32" s="683">
        <v>10</v>
      </c>
      <c r="Z32" s="672"/>
      <c r="AA32" s="672"/>
      <c r="AB32" s="673"/>
      <c r="AC32" s="679">
        <f t="shared" si="11"/>
        <v>22</v>
      </c>
      <c r="AD32" s="680"/>
      <c r="AE32" s="680"/>
      <c r="AF32" s="681"/>
      <c r="AG32" s="679">
        <f t="shared" si="12"/>
        <v>250</v>
      </c>
      <c r="AH32" s="680"/>
      <c r="AI32" s="680"/>
      <c r="AJ32" s="682"/>
      <c r="AK32" s="5"/>
      <c r="AL32" s="415"/>
      <c r="AM32" s="416"/>
      <c r="AN32" s="416"/>
      <c r="AO32" s="417"/>
      <c r="AP32" s="434"/>
      <c r="AQ32" s="416"/>
      <c r="AR32" s="416"/>
      <c r="AS32" s="435"/>
      <c r="AT32" s="13"/>
    </row>
    <row r="33" spans="2:46" ht="12" customHeight="1" thickBot="1">
      <c r="B33" s="698"/>
      <c r="C33" s="699"/>
      <c r="D33" s="699"/>
      <c r="E33" s="699"/>
      <c r="F33" s="699"/>
      <c r="G33" s="699"/>
      <c r="H33" s="700"/>
      <c r="I33" s="701"/>
      <c r="J33" s="699"/>
      <c r="K33" s="699"/>
      <c r="L33" s="699"/>
      <c r="M33" s="699"/>
      <c r="N33" s="699"/>
      <c r="O33" s="700"/>
      <c r="P33" s="701"/>
      <c r="Q33" s="699"/>
      <c r="R33" s="699"/>
      <c r="S33" s="699"/>
      <c r="T33" s="699"/>
      <c r="U33" s="703"/>
      <c r="X33" s="12"/>
      <c r="Y33" s="712">
        <v>20</v>
      </c>
      <c r="Z33" s="713"/>
      <c r="AA33" s="713"/>
      <c r="AB33" s="714"/>
      <c r="AC33" s="662">
        <f t="shared" si="11"/>
        <v>11</v>
      </c>
      <c r="AD33" s="663"/>
      <c r="AE33" s="663"/>
      <c r="AF33" s="664"/>
      <c r="AG33" s="662">
        <f t="shared" si="12"/>
        <v>297</v>
      </c>
      <c r="AH33" s="663"/>
      <c r="AI33" s="663"/>
      <c r="AJ33" s="665"/>
      <c r="AK33" s="14"/>
      <c r="AL33" s="157">
        <v>209</v>
      </c>
      <c r="AM33" s="158"/>
      <c r="AN33" s="158"/>
      <c r="AO33" s="159"/>
      <c r="AP33" s="160">
        <f>IF(AL33="","",IF(AV29=0,"",ROUNDUP((($X$21/$AL$33)^$I$34)*(LN(1-$P$34/100)/LN(1-$B$34/100)),0)))</f>
        <v>45</v>
      </c>
      <c r="AQ33" s="161"/>
      <c r="AR33" s="161"/>
      <c r="AS33" s="162"/>
      <c r="AT33" s="13"/>
    </row>
    <row r="34" spans="2:46" ht="12" customHeight="1" thickBot="1">
      <c r="B34" s="157">
        <v>0.1</v>
      </c>
      <c r="C34" s="693"/>
      <c r="D34" s="693"/>
      <c r="E34" s="693"/>
      <c r="F34" s="693"/>
      <c r="G34" s="693"/>
      <c r="H34" s="694"/>
      <c r="I34" s="454">
        <v>4</v>
      </c>
      <c r="J34" s="693"/>
      <c r="K34" s="693"/>
      <c r="L34" s="693"/>
      <c r="M34" s="693"/>
      <c r="N34" s="693"/>
      <c r="O34" s="694"/>
      <c r="P34" s="454">
        <v>90</v>
      </c>
      <c r="Q34" s="693"/>
      <c r="R34" s="693"/>
      <c r="S34" s="693"/>
      <c r="T34" s="693"/>
      <c r="U34" s="695"/>
      <c r="X34" s="15"/>
      <c r="Y34" s="16"/>
      <c r="Z34" s="16"/>
      <c r="AA34" s="16"/>
      <c r="AB34" s="16"/>
      <c r="AC34" s="16"/>
      <c r="AD34" s="16"/>
      <c r="AE34" s="16"/>
      <c r="AF34" s="16"/>
      <c r="AG34" s="16"/>
      <c r="AH34" s="16"/>
      <c r="AI34" s="16"/>
      <c r="AJ34" s="16"/>
      <c r="AK34" s="16"/>
      <c r="AL34" s="16"/>
      <c r="AM34" s="16"/>
      <c r="AN34" s="16"/>
      <c r="AO34" s="16"/>
      <c r="AP34" s="16"/>
      <c r="AQ34" s="16"/>
      <c r="AR34" s="16"/>
      <c r="AS34" s="16"/>
      <c r="AT34" s="17"/>
    </row>
    <row r="35" spans="2:46" s="77" customFormat="1" ht="15" hidden="1" customHeight="1"/>
    <row r="36" spans="2:46" s="77" customFormat="1" ht="15" hidden="1" customHeight="1">
      <c r="B36" s="69" t="s">
        <v>89</v>
      </c>
      <c r="C36" s="70"/>
      <c r="D36" s="70"/>
      <c r="E36" s="70"/>
      <c r="F36" s="70"/>
      <c r="G36" s="70"/>
      <c r="H36" s="70"/>
      <c r="I36" s="70"/>
      <c r="J36" s="70"/>
      <c r="K36" s="70"/>
      <c r="L36" s="70"/>
      <c r="M36" s="71"/>
      <c r="N36" s="71"/>
      <c r="O36" s="71"/>
      <c r="P36" s="71"/>
      <c r="Q36" s="71"/>
      <c r="R36" s="71">
        <f>IF(CODE(B28)=49,1,0)</f>
        <v>1</v>
      </c>
      <c r="S36" s="71">
        <f>R36*IF(B25="",0,1)*IF(G25="",0,1)*IF(B30="",0,1)</f>
        <v>1</v>
      </c>
      <c r="T36" s="71"/>
      <c r="U36" s="71"/>
      <c r="V36" s="71"/>
      <c r="W36" s="71"/>
      <c r="X36" s="71" t="s">
        <v>51</v>
      </c>
      <c r="Y36" s="71">
        <v>4</v>
      </c>
      <c r="Z36" s="71">
        <v>2</v>
      </c>
      <c r="AA36" s="71">
        <v>10</v>
      </c>
      <c r="AB36" s="71"/>
      <c r="AC36" s="71"/>
      <c r="AD36" s="71"/>
      <c r="AE36" s="71">
        <f ca="1">'Top sheet'!D34</f>
        <v>1</v>
      </c>
      <c r="AF36" s="33"/>
      <c r="AG36" s="33"/>
    </row>
    <row r="37" spans="2:46" s="77" customFormat="1" ht="15" hidden="1" customHeight="1">
      <c r="B37" s="69" t="s">
        <v>90</v>
      </c>
      <c r="C37" s="70"/>
      <c r="D37" s="70"/>
      <c r="E37" s="70"/>
      <c r="F37" s="70"/>
      <c r="G37" s="70"/>
      <c r="H37" s="70"/>
      <c r="I37" s="70"/>
      <c r="J37" s="70"/>
      <c r="K37" s="70"/>
      <c r="L37" s="60"/>
      <c r="M37" s="71"/>
      <c r="N37" s="71"/>
      <c r="O37" s="71"/>
      <c r="P37" s="71"/>
      <c r="Q37" s="71"/>
      <c r="R37" s="71">
        <f>IF(CODE(B28)=50,1,0)</f>
        <v>0</v>
      </c>
      <c r="S37" s="71">
        <f>R37*IF(B25="",0,1)*IF(G25="",0,1)*IF(G30="",0,1)*IF(L30="",0,1)*IF(Q30="",0,1)</f>
        <v>0</v>
      </c>
      <c r="T37" s="71"/>
      <c r="U37" s="71"/>
      <c r="V37" s="71"/>
      <c r="W37" s="71"/>
      <c r="X37" s="71" t="s">
        <v>52</v>
      </c>
      <c r="Y37" s="71">
        <v>4</v>
      </c>
      <c r="Z37" s="71">
        <v>2</v>
      </c>
      <c r="AA37" s="71">
        <v>15</v>
      </c>
      <c r="AB37" s="71"/>
      <c r="AC37" s="71"/>
      <c r="AD37" s="71"/>
      <c r="AE37" s="71"/>
      <c r="AF37" s="33"/>
      <c r="AG37" s="33"/>
    </row>
    <row r="38" spans="2:46" s="77" customFormat="1" ht="15" hidden="1" customHeight="1">
      <c r="B38" s="72"/>
      <c r="C38" s="72"/>
      <c r="D38" s="72"/>
      <c r="E38" s="72"/>
      <c r="F38" s="72"/>
      <c r="G38" s="72"/>
      <c r="H38" s="72"/>
      <c r="I38" s="72"/>
      <c r="J38" s="72"/>
      <c r="K38" s="72"/>
      <c r="L38" s="72"/>
      <c r="M38" s="72"/>
      <c r="N38" s="72"/>
      <c r="O38" s="72"/>
      <c r="P38" s="72"/>
      <c r="Q38" s="72"/>
      <c r="R38" s="72"/>
      <c r="S38" s="72"/>
      <c r="T38" s="72"/>
      <c r="U38" s="71"/>
      <c r="V38" s="71"/>
      <c r="W38" s="71"/>
      <c r="X38" s="71" t="s">
        <v>82</v>
      </c>
      <c r="Y38" s="71">
        <v>2</v>
      </c>
      <c r="Z38" s="71">
        <v>1</v>
      </c>
      <c r="AA38" s="71">
        <v>5</v>
      </c>
      <c r="AB38" s="71"/>
      <c r="AC38" s="71"/>
      <c r="AD38" s="71"/>
      <c r="AE38" s="71"/>
      <c r="AF38" s="33"/>
      <c r="AG38" s="33"/>
    </row>
    <row r="39" spans="2:46" s="77" customFormat="1" ht="15" hidden="1" customHeight="1">
      <c r="B39" s="72"/>
      <c r="C39" s="72"/>
      <c r="D39" s="72"/>
      <c r="E39" s="72"/>
      <c r="F39" s="72"/>
      <c r="G39" s="72"/>
      <c r="H39" s="72"/>
      <c r="I39" s="72"/>
      <c r="J39" s="72"/>
      <c r="K39" s="72"/>
      <c r="L39" s="72"/>
      <c r="M39" s="72"/>
      <c r="N39" s="72"/>
      <c r="O39" s="72"/>
      <c r="P39" s="72"/>
      <c r="Q39" s="72"/>
      <c r="R39" s="72"/>
      <c r="S39" s="72"/>
      <c r="T39" s="72"/>
      <c r="U39" s="71"/>
      <c r="V39" s="71"/>
      <c r="W39" s="71"/>
      <c r="X39" s="71" t="s">
        <v>80</v>
      </c>
      <c r="Y39" s="71">
        <v>0.3</v>
      </c>
      <c r="Z39" s="71">
        <v>0.1</v>
      </c>
      <c r="AA39" s="71">
        <v>1</v>
      </c>
      <c r="AB39" s="71"/>
      <c r="AC39" s="71"/>
      <c r="AD39" s="71"/>
      <c r="AE39" s="71"/>
      <c r="AF39" s="33"/>
      <c r="AG39" s="33"/>
    </row>
    <row r="40" spans="2:46" s="77" customFormat="1" ht="15" hidden="1" customHeight="1">
      <c r="B40" s="72"/>
      <c r="C40" s="72"/>
      <c r="D40" s="72"/>
      <c r="E40" s="72"/>
      <c r="F40" s="72"/>
      <c r="G40" s="72"/>
      <c r="H40" s="72"/>
      <c r="I40" s="72"/>
      <c r="J40" s="72"/>
      <c r="K40" s="72"/>
      <c r="L40" s="72"/>
      <c r="M40" s="72"/>
      <c r="N40" s="72"/>
      <c r="O40" s="72"/>
      <c r="P40" s="72"/>
      <c r="Q40" s="72"/>
      <c r="R40" s="72"/>
      <c r="S40" s="72"/>
      <c r="T40" s="72"/>
      <c r="U40" s="71"/>
      <c r="V40" s="71"/>
      <c r="W40" s="71"/>
      <c r="X40" s="71" t="s">
        <v>7</v>
      </c>
      <c r="Y40" s="71">
        <v>0.1</v>
      </c>
      <c r="Z40" s="71">
        <v>0.1</v>
      </c>
      <c r="AA40" s="71">
        <v>2</v>
      </c>
      <c r="AB40" s="71"/>
      <c r="AC40" s="71"/>
      <c r="AD40" s="71"/>
      <c r="AE40" s="71"/>
      <c r="AF40" s="33"/>
      <c r="AG40" s="33"/>
    </row>
    <row r="41" spans="2:46" ht="15" customHeight="1">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34"/>
      <c r="AG41" s="34"/>
    </row>
    <row r="42" spans="2:46" ht="15" customHeight="1">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row>
    <row r="43" spans="2:46" ht="15" customHeight="1">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row>
    <row r="44" spans="2:46" ht="15" customHeight="1">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row>
    <row r="45" spans="2:46" ht="15" customHeight="1">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row>
    <row r="46" spans="2:46" ht="15" customHeight="1"/>
    <row r="47" spans="2:46" ht="15" customHeight="1"/>
    <row r="48" spans="2:4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95" spans="16:16">
      <c r="P95" s="3">
        <v>90</v>
      </c>
    </row>
  </sheetData>
  <sheetProtection algorithmName="SHA-512" hashValue="EYWu/Hzd5hUjLhNR9+FPr/GnANLdLYaF3IW/3I0aGCriA6qLQK/LdUzbsITZ/4VKDBuDsLggrdgKJLsgYFiDbg==" saltValue="szrpYidq4QxmmWjW9nfF1g==" spinCount="100000" sheet="1" objects="1" scenarios="1" selectLockedCells="1"/>
  <mergeCells count="167">
    <mergeCell ref="AF4:AT4"/>
    <mergeCell ref="U2:AB2"/>
    <mergeCell ref="AC2:AD2"/>
    <mergeCell ref="V5:AD6"/>
    <mergeCell ref="V7:AD7"/>
    <mergeCell ref="AP5:AT6"/>
    <mergeCell ref="AP7:AT7"/>
    <mergeCell ref="B8:F8"/>
    <mergeCell ref="G8:K8"/>
    <mergeCell ref="B2:S2"/>
    <mergeCell ref="AF2:AJ2"/>
    <mergeCell ref="AK2:AL2"/>
    <mergeCell ref="AF7:AJ7"/>
    <mergeCell ref="AK5:AO6"/>
    <mergeCell ref="AK7:AO7"/>
    <mergeCell ref="AP8:AT8"/>
    <mergeCell ref="AF5:AJ6"/>
    <mergeCell ref="V8:AD8"/>
    <mergeCell ref="B4:AD4"/>
    <mergeCell ref="B7:F7"/>
    <mergeCell ref="G7:K7"/>
    <mergeCell ref="AK8:AO8"/>
    <mergeCell ref="L8:P8"/>
    <mergeCell ref="Q8:U8"/>
    <mergeCell ref="B13:F13"/>
    <mergeCell ref="G13:K13"/>
    <mergeCell ref="L13:P13"/>
    <mergeCell ref="Q13:U13"/>
    <mergeCell ref="AF10:AJ10"/>
    <mergeCell ref="AF9:AJ9"/>
    <mergeCell ref="V10:AD10"/>
    <mergeCell ref="AF11:AJ11"/>
    <mergeCell ref="AF12:AJ12"/>
    <mergeCell ref="V11:AD11"/>
    <mergeCell ref="V12:AD12"/>
    <mergeCell ref="V9:AD9"/>
    <mergeCell ref="B10:F10"/>
    <mergeCell ref="G10:K10"/>
    <mergeCell ref="L10:P10"/>
    <mergeCell ref="Q10:U10"/>
    <mergeCell ref="L11:P11"/>
    <mergeCell ref="L12:P12"/>
    <mergeCell ref="G11:K11"/>
    <mergeCell ref="G12:K12"/>
    <mergeCell ref="B11:F11"/>
    <mergeCell ref="B12:F12"/>
    <mergeCell ref="Q11:U11"/>
    <mergeCell ref="Q12:U12"/>
    <mergeCell ref="AK10:AO10"/>
    <mergeCell ref="AP10:AT10"/>
    <mergeCell ref="AP11:AT11"/>
    <mergeCell ref="AP12:AT12"/>
    <mergeCell ref="AP14:AT14"/>
    <mergeCell ref="AK11:AO11"/>
    <mergeCell ref="AK12:AO12"/>
    <mergeCell ref="B5:F6"/>
    <mergeCell ref="G5:K6"/>
    <mergeCell ref="L5:P6"/>
    <mergeCell ref="Q5:U6"/>
    <mergeCell ref="L7:P7"/>
    <mergeCell ref="Q7:U7"/>
    <mergeCell ref="AF8:AJ8"/>
    <mergeCell ref="AP9:AT9"/>
    <mergeCell ref="AK13:AO13"/>
    <mergeCell ref="AP13:AT13"/>
    <mergeCell ref="V13:AD13"/>
    <mergeCell ref="AF13:AJ13"/>
    <mergeCell ref="AK9:AO9"/>
    <mergeCell ref="B9:F9"/>
    <mergeCell ref="G9:K9"/>
    <mergeCell ref="L9:P9"/>
    <mergeCell ref="Q9:U9"/>
    <mergeCell ref="AK14:AO14"/>
    <mergeCell ref="AK15:AO15"/>
    <mergeCell ref="V15:AD15"/>
    <mergeCell ref="AF15:AJ15"/>
    <mergeCell ref="AP17:AT17"/>
    <mergeCell ref="B19:U19"/>
    <mergeCell ref="AK16:AO16"/>
    <mergeCell ref="AP16:AT16"/>
    <mergeCell ref="Q15:U15"/>
    <mergeCell ref="B16:F16"/>
    <mergeCell ref="G16:K16"/>
    <mergeCell ref="B17:F17"/>
    <mergeCell ref="G17:I17"/>
    <mergeCell ref="J17:K17"/>
    <mergeCell ref="Q20:U20"/>
    <mergeCell ref="B21:F21"/>
    <mergeCell ref="G21:K21"/>
    <mergeCell ref="L21:P21"/>
    <mergeCell ref="Q21:U21"/>
    <mergeCell ref="L16:P16"/>
    <mergeCell ref="Q16:U16"/>
    <mergeCell ref="X21:AM21"/>
    <mergeCell ref="X19:AM20"/>
    <mergeCell ref="B20:F20"/>
    <mergeCell ref="G20:K20"/>
    <mergeCell ref="L20:P20"/>
    <mergeCell ref="V16:AD16"/>
    <mergeCell ref="AF16:AJ16"/>
    <mergeCell ref="AK17:AO17"/>
    <mergeCell ref="L17:P17"/>
    <mergeCell ref="Q17:S17"/>
    <mergeCell ref="T17:U17"/>
    <mergeCell ref="L24:P24"/>
    <mergeCell ref="Q24:U24"/>
    <mergeCell ref="X23:AT23"/>
    <mergeCell ref="B29:F29"/>
    <mergeCell ref="G29:K29"/>
    <mergeCell ref="L29:P29"/>
    <mergeCell ref="Q29:U29"/>
    <mergeCell ref="B28:U28"/>
    <mergeCell ref="B25:F25"/>
    <mergeCell ref="G25:K25"/>
    <mergeCell ref="L25:P25"/>
    <mergeCell ref="Q25:U25"/>
    <mergeCell ref="B27:U27"/>
    <mergeCell ref="AP27:AS28"/>
    <mergeCell ref="AP29:AS29"/>
    <mergeCell ref="B34:H34"/>
    <mergeCell ref="I34:O34"/>
    <mergeCell ref="P34:U34"/>
    <mergeCell ref="B32:H33"/>
    <mergeCell ref="I32:O33"/>
    <mergeCell ref="P32:U33"/>
    <mergeCell ref="AC27:AF28"/>
    <mergeCell ref="AG27:AJ28"/>
    <mergeCell ref="AL27:AO28"/>
    <mergeCell ref="Y29:AB29"/>
    <mergeCell ref="AL29:AO29"/>
    <mergeCell ref="AG29:AJ29"/>
    <mergeCell ref="Y27:AB28"/>
    <mergeCell ref="AL31:AO32"/>
    <mergeCell ref="B30:F30"/>
    <mergeCell ref="G30:K30"/>
    <mergeCell ref="L30:P30"/>
    <mergeCell ref="Q30:U30"/>
    <mergeCell ref="Y30:AB30"/>
    <mergeCell ref="AC30:AF30"/>
    <mergeCell ref="Y33:AB33"/>
    <mergeCell ref="AG32:AJ32"/>
    <mergeCell ref="AG30:AJ30"/>
    <mergeCell ref="Y31:AB31"/>
    <mergeCell ref="AP31:AS32"/>
    <mergeCell ref="AL33:AO33"/>
    <mergeCell ref="AP33:AS33"/>
    <mergeCell ref="AC29:AF29"/>
    <mergeCell ref="AC33:AF33"/>
    <mergeCell ref="AG33:AJ33"/>
    <mergeCell ref="AP15:AT15"/>
    <mergeCell ref="B14:F14"/>
    <mergeCell ref="G14:K14"/>
    <mergeCell ref="L14:P14"/>
    <mergeCell ref="Q14:U14"/>
    <mergeCell ref="V14:AD14"/>
    <mergeCell ref="AF14:AJ14"/>
    <mergeCell ref="B15:F15"/>
    <mergeCell ref="G15:K15"/>
    <mergeCell ref="L15:P15"/>
    <mergeCell ref="AC31:AF31"/>
    <mergeCell ref="AG31:AJ31"/>
    <mergeCell ref="Y32:AB32"/>
    <mergeCell ref="AC32:AF32"/>
    <mergeCell ref="X24:AT25"/>
    <mergeCell ref="B23:U23"/>
    <mergeCell ref="B24:F24"/>
    <mergeCell ref="G24:K24"/>
  </mergeCells>
  <phoneticPr fontId="1"/>
  <conditionalFormatting sqref="B29:F29">
    <cfRule type="expression" dxfId="18" priority="11" stopIfTrue="1">
      <formula>$R$36=1</formula>
    </cfRule>
  </conditionalFormatting>
  <conditionalFormatting sqref="B30:F30">
    <cfRule type="expression" dxfId="17" priority="16" stopIfTrue="1">
      <formula>$R$36=1</formula>
    </cfRule>
  </conditionalFormatting>
  <conditionalFormatting sqref="G29:U29">
    <cfRule type="expression" dxfId="16" priority="12" stopIfTrue="1">
      <formula>$R$37=1</formula>
    </cfRule>
  </conditionalFormatting>
  <conditionalFormatting sqref="L10:L12 L13:P16 G30:U30">
    <cfRule type="expression" dxfId="15" priority="15" stopIfTrue="1">
      <formula>$R$37=1</formula>
    </cfRule>
  </conditionalFormatting>
  <conditionalFormatting sqref="L5:P6">
    <cfRule type="expression" dxfId="14" priority="9" stopIfTrue="1">
      <formula>$R$37=1</formula>
    </cfRule>
  </conditionalFormatting>
  <conditionalFormatting sqref="L7:P9">
    <cfRule type="expression" dxfId="13" priority="10" stopIfTrue="1">
      <formula>$R$37=1</formula>
    </cfRule>
  </conditionalFormatting>
  <conditionalFormatting sqref="Q24:U24">
    <cfRule type="expression" dxfId="12" priority="13" stopIfTrue="1">
      <formula>$R$37=1</formula>
    </cfRule>
  </conditionalFormatting>
  <conditionalFormatting sqref="Q25:U25">
    <cfRule type="expression" dxfId="11" priority="1">
      <formula>$R$37=1</formula>
    </cfRule>
  </conditionalFormatting>
  <conditionalFormatting sqref="X19:AM21">
    <cfRule type="expression" dxfId="10" priority="5" stopIfTrue="1">
      <formula>$AE$36=0</formula>
    </cfRule>
  </conditionalFormatting>
  <conditionalFormatting sqref="X23:AT25">
    <cfRule type="expression" dxfId="9" priority="4" stopIfTrue="1">
      <formula>$AE$36=0</formula>
    </cfRule>
  </conditionalFormatting>
  <conditionalFormatting sqref="X26:AT26">
    <cfRule type="expression" dxfId="8" priority="3" stopIfTrue="1">
      <formula>$AE$36=0</formula>
    </cfRule>
  </conditionalFormatting>
  <conditionalFormatting sqref="AF4:AT13 AF8:AJ16 AP8:AT16 AF14:AK15 AF16:AT16 X27:AT34">
    <cfRule type="expression" dxfId="7" priority="7" stopIfTrue="1">
      <formula>$AE$36=0</formula>
    </cfRule>
  </conditionalFormatting>
  <conditionalFormatting sqref="AF4:AT16">
    <cfRule type="expression" dxfId="6" priority="2">
      <formula>$AE$36=0</formula>
    </cfRule>
  </conditionalFormatting>
  <conditionalFormatting sqref="AK17:AT17">
    <cfRule type="expression" dxfId="5" priority="6" stopIfTrue="1">
      <formula>$AE$36=0</formula>
    </cfRule>
  </conditionalFormatting>
  <dataValidations count="18">
    <dataValidation type="decimal" allowBlank="1" showInputMessage="1" showErrorMessage="1" error="Invalid value" prompt="Typical value is 4.0" sqref="I34:O34" xr:uid="{541849E5-9B1D-4A69-B16F-9C3F832E80A4}">
      <formula1>Z37</formula1>
      <formula2>AA37</formula2>
    </dataValidation>
    <dataValidation type="list" allowBlank="1" showInputMessage="1" showErrorMessage="1" sqref="B28:U28" xr:uid="{00CC187F-A331-4DD6-8780-94CF21725F4E}">
      <formula1>$B$36:$B$37</formula1>
    </dataValidation>
    <dataValidation type="decimal" allowBlank="1" showInputMessage="1" showErrorMessage="1" error="Invalid value" prompt="Typical value is 2.0" sqref="G30:K30" xr:uid="{F9DA90F8-25EF-46D7-B42C-76C785CD96BC}">
      <formula1>Z38</formula1>
      <formula2>AA38</formula2>
    </dataValidation>
    <dataValidation type="decimal" allowBlank="1" showInputMessage="1" showErrorMessage="1" error="Invalid value" prompt="Typical value is 0.3" sqref="L30:P30" xr:uid="{608A5652-6119-42D4-8667-8FE9CAA6670B}">
      <formula1>Z39</formula1>
      <formula2>AA39</formula2>
    </dataValidation>
    <dataValidation type="decimal" allowBlank="1" showInputMessage="1" showErrorMessage="1" error="Invalid value" prompt="Typical value is 0.1" sqref="Q30:U30" xr:uid="{37685630-37BB-4823-887A-33AB9B54F4B3}">
      <formula1>Z40</formula1>
      <formula2>AA40</formula2>
    </dataValidation>
    <dataValidation type="decimal" allowBlank="1" showInputMessage="1" showErrorMessage="1" error="Invalid value" sqref="B25:F25" xr:uid="{5C4875D7-A95D-447F-9F9A-8D6F71CCFB4C}">
      <formula1>G25+1</formula1>
      <formula2>200</formula2>
    </dataValidation>
    <dataValidation type="decimal" allowBlank="1" showInputMessage="1" showErrorMessage="1" error="Invalid value" sqref="G25:K25" xr:uid="{0CDF3492-DE3A-4472-BE50-5446F2D6AB61}">
      <formula1>-100</formula1>
      <formula2>B25-1</formula2>
    </dataValidation>
    <dataValidation type="decimal" allowBlank="1" showInputMessage="1" showErrorMessage="1" error="Invalid valure" prompt="Typical value is 4.0" sqref="B30:F30" xr:uid="{D68E4BE9-6C98-445E-81DE-B1F8B9BAE600}">
      <formula1>Z36</formula1>
      <formula2>AA36</formula2>
    </dataValidation>
    <dataValidation type="decimal" allowBlank="1" showInputMessage="1" showErrorMessage="1" error="Invalid value" prompt="Typical value is 0.1" sqref="B34:H34" xr:uid="{9388B63F-AF1D-4890-94F9-6305BAB4B62E}">
      <formula1>0.0001</formula1>
      <formula2>50</formula2>
    </dataValidation>
    <dataValidation type="decimal" allowBlank="1" showInputMessage="1" showErrorMessage="1" error="Invalid value" prompt="Typical value is 90" sqref="P34:U34" xr:uid="{D32D3C8D-6714-4DBB-9907-E25673F7BDDD}">
      <formula1>10</formula1>
      <formula2>99</formula2>
    </dataValidation>
    <dataValidation type="decimal" allowBlank="1" showInputMessage="1" showErrorMessage="1" error="Invalid value" sqref="B7:F16 Q25:U25" xr:uid="{229A7255-E32B-40D4-B808-6BF6B3D02F93}">
      <formula1>1</formula1>
      <formula2>300</formula2>
    </dataValidation>
    <dataValidation type="decimal" allowBlank="1" showInputMessage="1" showErrorMessage="1" error="Invalid value" sqref="Y29:AB33" xr:uid="{E536AE73-1275-4B39-B633-FF43BB3FCF35}">
      <formula1>0.1</formula1>
      <formula2>60</formula2>
    </dataValidation>
    <dataValidation type="whole" allowBlank="1" showInputMessage="1" showErrorMessage="1" error="Invalid value" sqref="AL29:AO29" xr:uid="{F400C3E2-5DAF-4428-A2FC-659B3D8A263D}">
      <formula1>1</formula1>
      <formula2>10000</formula2>
    </dataValidation>
    <dataValidation type="decimal" allowBlank="1" showInputMessage="1" showErrorMessage="1" sqref="AL33:AO33" xr:uid="{800561DF-6F2A-45BC-B30A-F3B00F971163}">
      <formula1>0.1</formula1>
      <formula2>10000</formula2>
    </dataValidation>
    <dataValidation type="decimal" allowBlank="1" showInputMessage="1" showErrorMessage="1" error="Invalid value" sqref="G7:K16" xr:uid="{5A83F720-2F3C-47FC-9D9E-1F52493C6CC2}">
      <formula1>0</formula1>
      <formula2>100</formula2>
    </dataValidation>
    <dataValidation type="decimal" allowBlank="1" showInputMessage="1" showErrorMessage="1" error="Invalid value" sqref="L7:P16" xr:uid="{71C8D98D-C312-476B-A541-62B8080CC3C2}">
      <formula1>0</formula1>
      <formula2>300</formula2>
    </dataValidation>
    <dataValidation type="decimal" allowBlank="1" showInputMessage="1" showErrorMessage="1" error="Invalid value" sqref="AC2:AD2" xr:uid="{4A230527-8D0D-4D79-B958-7D1C8B7080F7}">
      <formula1>0.1</formula1>
      <formula2>100</formula2>
    </dataValidation>
    <dataValidation type="decimal" allowBlank="1" showInputMessage="1" showErrorMessage="1" error="Invalid value" sqref="AK2:AL2" xr:uid="{34CFB557-1641-46F1-BDDD-74450819BB64}">
      <formula1>0.1</formula1>
      <formula2>250</formula2>
    </dataValidation>
  </dataValidations>
  <pageMargins left="0.7" right="0.7" top="0.75" bottom="0.75" header="0.3" footer="0.3"/>
  <pageSetup paperSize="9" orientation="landscape" r:id="rId1"/>
  <ignoredErrors>
    <ignoredError sqref="AP17"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C7810-EEC0-469C-81B6-E735AC0A1B22}">
  <sheetPr codeName="Sheet6"/>
  <dimension ref="A1:AY95"/>
  <sheetViews>
    <sheetView showGridLines="0" showRowColHeaders="0" zoomScaleNormal="100" workbookViewId="0">
      <selection activeCell="V7" sqref="V7:AD7"/>
    </sheetView>
  </sheetViews>
  <sheetFormatPr defaultColWidth="9" defaultRowHeight="14"/>
  <cols>
    <col min="1" max="1" width="2.6328125" style="1" customWidth="1"/>
    <col min="2" max="46" width="3.54296875" style="1" customWidth="1"/>
    <col min="47" max="49" width="2.6328125" style="1" hidden="1" customWidth="1"/>
    <col min="50" max="50" width="2.6328125" style="1" customWidth="1"/>
    <col min="51" max="16384" width="9" style="1"/>
  </cols>
  <sheetData>
    <row r="1" spans="1:51" ht="7" customHeight="1" thickBot="1">
      <c r="A1" s="78" t="s">
        <v>87</v>
      </c>
    </row>
    <row r="2" spans="1:51" ht="26" customHeight="1" thickBot="1">
      <c r="B2" s="878" t="s">
        <v>74</v>
      </c>
      <c r="C2" s="879"/>
      <c r="D2" s="879"/>
      <c r="E2" s="879"/>
      <c r="F2" s="879"/>
      <c r="G2" s="879"/>
      <c r="H2" s="879"/>
      <c r="I2" s="879"/>
      <c r="J2" s="879"/>
      <c r="K2" s="879"/>
      <c r="L2" s="879"/>
      <c r="M2" s="879"/>
      <c r="N2" s="879"/>
      <c r="O2" s="879"/>
      <c r="P2" s="879"/>
      <c r="Q2" s="879"/>
      <c r="R2" s="879"/>
      <c r="S2" s="879"/>
      <c r="U2" s="359" t="s">
        <v>114</v>
      </c>
      <c r="V2" s="360"/>
      <c r="W2" s="360"/>
      <c r="X2" s="360"/>
      <c r="Y2" s="360"/>
      <c r="Z2" s="360"/>
      <c r="AA2" s="360"/>
      <c r="AB2" s="361"/>
      <c r="AC2" s="157">
        <v>10</v>
      </c>
      <c r="AD2" s="362"/>
    </row>
    <row r="3" spans="1:51" ht="5" customHeight="1" thickBot="1"/>
    <row r="4" spans="1:51" ht="26" customHeight="1" thickBot="1">
      <c r="B4" s="354" t="s">
        <v>154</v>
      </c>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6"/>
      <c r="AF4" s="358" t="s">
        <v>118</v>
      </c>
      <c r="AG4" s="355"/>
      <c r="AH4" s="355"/>
      <c r="AI4" s="355"/>
      <c r="AJ4" s="355"/>
      <c r="AK4" s="355"/>
      <c r="AL4" s="355"/>
      <c r="AM4" s="355"/>
      <c r="AN4" s="355"/>
      <c r="AO4" s="355"/>
      <c r="AP4" s="355"/>
      <c r="AQ4" s="355"/>
      <c r="AR4" s="355"/>
      <c r="AS4" s="355"/>
      <c r="AT4" s="356"/>
      <c r="AU4" s="32"/>
      <c r="AV4" s="32"/>
      <c r="AW4" s="32"/>
      <c r="AX4" s="32"/>
      <c r="AY4" s="32"/>
    </row>
    <row r="5" spans="1:51" ht="11" customHeight="1">
      <c r="B5" s="646" t="s">
        <v>147</v>
      </c>
      <c r="C5" s="637"/>
      <c r="D5" s="637"/>
      <c r="E5" s="637"/>
      <c r="F5" s="647"/>
      <c r="G5" s="649" t="s">
        <v>152</v>
      </c>
      <c r="H5" s="637"/>
      <c r="I5" s="637"/>
      <c r="J5" s="637"/>
      <c r="K5" s="647"/>
      <c r="L5" s="649"/>
      <c r="M5" s="637"/>
      <c r="N5" s="637"/>
      <c r="O5" s="637"/>
      <c r="P5" s="647"/>
      <c r="Q5" s="649" t="s">
        <v>148</v>
      </c>
      <c r="R5" s="637"/>
      <c r="S5" s="637"/>
      <c r="T5" s="637"/>
      <c r="U5" s="647"/>
      <c r="V5" s="649" t="s">
        <v>56</v>
      </c>
      <c r="W5" s="637"/>
      <c r="X5" s="637"/>
      <c r="Y5" s="637"/>
      <c r="Z5" s="637"/>
      <c r="AA5" s="637"/>
      <c r="AB5" s="637"/>
      <c r="AC5" s="637"/>
      <c r="AD5" s="656"/>
      <c r="AE5" s="18"/>
      <c r="AF5" s="186" t="s">
        <v>139</v>
      </c>
      <c r="AG5" s="347"/>
      <c r="AH5" s="347"/>
      <c r="AI5" s="347"/>
      <c r="AJ5" s="363"/>
      <c r="AK5" s="368"/>
      <c r="AL5" s="369"/>
      <c r="AM5" s="369"/>
      <c r="AN5" s="369"/>
      <c r="AO5" s="370"/>
      <c r="AP5" s="368" t="s">
        <v>32</v>
      </c>
      <c r="AQ5" s="369"/>
      <c r="AR5" s="369"/>
      <c r="AS5" s="369"/>
      <c r="AT5" s="876"/>
      <c r="AU5" s="96"/>
      <c r="AV5" s="32"/>
      <c r="AW5" s="32"/>
      <c r="AX5" s="32"/>
      <c r="AY5" s="32"/>
    </row>
    <row r="6" spans="1:51" ht="11" customHeight="1" thickBot="1">
      <c r="B6" s="880"/>
      <c r="C6" s="881"/>
      <c r="D6" s="881"/>
      <c r="E6" s="881"/>
      <c r="F6" s="882"/>
      <c r="G6" s="883"/>
      <c r="H6" s="881"/>
      <c r="I6" s="881"/>
      <c r="J6" s="881"/>
      <c r="K6" s="882"/>
      <c r="L6" s="883"/>
      <c r="M6" s="881"/>
      <c r="N6" s="881"/>
      <c r="O6" s="881"/>
      <c r="P6" s="882"/>
      <c r="Q6" s="883"/>
      <c r="R6" s="881"/>
      <c r="S6" s="881"/>
      <c r="T6" s="881"/>
      <c r="U6" s="882"/>
      <c r="V6" s="883"/>
      <c r="W6" s="881"/>
      <c r="X6" s="881"/>
      <c r="Y6" s="881"/>
      <c r="Z6" s="881"/>
      <c r="AA6" s="881"/>
      <c r="AB6" s="881"/>
      <c r="AC6" s="881"/>
      <c r="AD6" s="886"/>
      <c r="AE6" s="18"/>
      <c r="AF6" s="364"/>
      <c r="AG6" s="350"/>
      <c r="AH6" s="350"/>
      <c r="AI6" s="350"/>
      <c r="AJ6" s="365"/>
      <c r="AK6" s="371"/>
      <c r="AL6" s="372"/>
      <c r="AM6" s="372"/>
      <c r="AN6" s="372"/>
      <c r="AO6" s="373"/>
      <c r="AP6" s="371"/>
      <c r="AQ6" s="372"/>
      <c r="AR6" s="372"/>
      <c r="AS6" s="372"/>
      <c r="AT6" s="877"/>
      <c r="AU6" s="96"/>
      <c r="AV6" s="32"/>
      <c r="AW6" s="32"/>
      <c r="AX6" s="32"/>
      <c r="AY6" s="32"/>
    </row>
    <row r="7" spans="1:51" ht="12" customHeight="1">
      <c r="B7" s="704">
        <v>30</v>
      </c>
      <c r="C7" s="887"/>
      <c r="D7" s="887"/>
      <c r="E7" s="887"/>
      <c r="F7" s="888"/>
      <c r="G7" s="812">
        <v>30</v>
      </c>
      <c r="H7" s="812"/>
      <c r="I7" s="812"/>
      <c r="J7" s="812"/>
      <c r="K7" s="812"/>
      <c r="L7" s="811"/>
      <c r="M7" s="811"/>
      <c r="N7" s="811"/>
      <c r="O7" s="811"/>
      <c r="P7" s="811"/>
      <c r="Q7" s="446">
        <f t="shared" ref="Q7:Q16" si="0">IF(AU7=0,"",365*24*$AC$2*G7/100)</f>
        <v>26280</v>
      </c>
      <c r="R7" s="446"/>
      <c r="S7" s="446"/>
      <c r="T7" s="446"/>
      <c r="U7" s="889"/>
      <c r="V7" s="890"/>
      <c r="W7" s="891"/>
      <c r="X7" s="891"/>
      <c r="Y7" s="891"/>
      <c r="Z7" s="891"/>
      <c r="AA7" s="891"/>
      <c r="AB7" s="891"/>
      <c r="AC7" s="891"/>
      <c r="AD7" s="892"/>
      <c r="AE7" s="18"/>
      <c r="AF7" s="809">
        <f>IF(AV7=0,"",EXP(($B$30/0.00008617)*(1/(B7+273.15)-1/($B$25+273.15))))</f>
        <v>51848.693018917766</v>
      </c>
      <c r="AG7" s="810"/>
      <c r="AH7" s="810"/>
      <c r="AI7" s="810"/>
      <c r="AJ7" s="810"/>
      <c r="AK7" s="811"/>
      <c r="AL7" s="811"/>
      <c r="AM7" s="811"/>
      <c r="AN7" s="811"/>
      <c r="AO7" s="811"/>
      <c r="AP7" s="884">
        <f>IF(AW7=0,"",Q7/AF7)</f>
        <v>0.50685944948335249</v>
      </c>
      <c r="AQ7" s="884"/>
      <c r="AR7" s="884"/>
      <c r="AS7" s="884"/>
      <c r="AT7" s="885"/>
      <c r="AU7" s="32">
        <f t="shared" ref="AU7:AU9" si="1">IF(G7="",0,1)*IF($AC$2="",0,1)</f>
        <v>1</v>
      </c>
      <c r="AV7" s="32">
        <f>IF(B7="",0,1)*IF($B$25="",0,1)*IF($B$30="",0,1)</f>
        <v>1</v>
      </c>
      <c r="AW7" s="32">
        <f>IF(AF7="",0,1)*IF(Q7="",0,1)</f>
        <v>1</v>
      </c>
      <c r="AX7" s="32"/>
      <c r="AY7" s="32"/>
    </row>
    <row r="8" spans="1:51" ht="12" customHeight="1">
      <c r="B8" s="668">
        <v>40</v>
      </c>
      <c r="C8" s="869"/>
      <c r="D8" s="869"/>
      <c r="E8" s="869"/>
      <c r="F8" s="870"/>
      <c r="G8" s="793">
        <v>20</v>
      </c>
      <c r="H8" s="793"/>
      <c r="I8" s="793"/>
      <c r="J8" s="793"/>
      <c r="K8" s="793"/>
      <c r="L8" s="765"/>
      <c r="M8" s="765"/>
      <c r="N8" s="765"/>
      <c r="O8" s="765"/>
      <c r="P8" s="765"/>
      <c r="Q8" s="421">
        <f t="shared" si="0"/>
        <v>17520</v>
      </c>
      <c r="R8" s="421"/>
      <c r="S8" s="421"/>
      <c r="T8" s="421"/>
      <c r="U8" s="814"/>
      <c r="V8" s="871"/>
      <c r="W8" s="872"/>
      <c r="X8" s="872"/>
      <c r="Y8" s="872"/>
      <c r="Z8" s="872"/>
      <c r="AA8" s="872"/>
      <c r="AB8" s="872"/>
      <c r="AC8" s="872"/>
      <c r="AD8" s="873"/>
      <c r="AE8" s="18"/>
      <c r="AF8" s="677">
        <f t="shared" ref="AF8:AF16" si="2">IF(AV8=0,"",EXP(($B$30/0.00008617)*(1/(B8+273.15)-1/($B$25+273.15))))</f>
        <v>15269.720386210278</v>
      </c>
      <c r="AG8" s="678"/>
      <c r="AH8" s="678"/>
      <c r="AI8" s="678"/>
      <c r="AJ8" s="678"/>
      <c r="AK8" s="765"/>
      <c r="AL8" s="765"/>
      <c r="AM8" s="765"/>
      <c r="AN8" s="765"/>
      <c r="AO8" s="765"/>
      <c r="AP8" s="874">
        <f t="shared" ref="AP8:AP16" si="3">IF(AW8=0,"",Q8/AF8)</f>
        <v>1.1473687504993146</v>
      </c>
      <c r="AQ8" s="874"/>
      <c r="AR8" s="874"/>
      <c r="AS8" s="874"/>
      <c r="AT8" s="875"/>
      <c r="AU8" s="32">
        <f t="shared" si="1"/>
        <v>1</v>
      </c>
      <c r="AV8" s="32">
        <f t="shared" ref="AV8:AV16" si="4">IF(B8="",0,1)*IF($B$25="",0,1)*IF($B$30="",0,1)</f>
        <v>1</v>
      </c>
      <c r="AW8" s="32">
        <f t="shared" ref="AW8:AW16" si="5">IF(AF8="",0,1)*IF(Q8="",0,1)</f>
        <v>1</v>
      </c>
      <c r="AX8" s="32"/>
      <c r="AY8" s="32"/>
    </row>
    <row r="9" spans="1:51" ht="12" customHeight="1">
      <c r="B9" s="668">
        <v>50</v>
      </c>
      <c r="C9" s="669"/>
      <c r="D9" s="669"/>
      <c r="E9" s="669"/>
      <c r="F9" s="670"/>
      <c r="G9" s="795">
        <v>10</v>
      </c>
      <c r="H9" s="669"/>
      <c r="I9" s="669"/>
      <c r="J9" s="669"/>
      <c r="K9" s="670"/>
      <c r="L9" s="813"/>
      <c r="M9" s="680"/>
      <c r="N9" s="680"/>
      <c r="O9" s="680"/>
      <c r="P9" s="681"/>
      <c r="Q9" s="421">
        <f t="shared" si="0"/>
        <v>8760</v>
      </c>
      <c r="R9" s="421"/>
      <c r="S9" s="421"/>
      <c r="T9" s="421"/>
      <c r="U9" s="814"/>
      <c r="V9" s="820"/>
      <c r="W9" s="672"/>
      <c r="X9" s="672"/>
      <c r="Y9" s="672"/>
      <c r="Z9" s="672"/>
      <c r="AA9" s="672"/>
      <c r="AB9" s="672"/>
      <c r="AC9" s="672"/>
      <c r="AD9" s="821"/>
      <c r="AE9" s="18"/>
      <c r="AF9" s="677">
        <f t="shared" si="2"/>
        <v>4850.4560974682418</v>
      </c>
      <c r="AG9" s="678"/>
      <c r="AH9" s="678"/>
      <c r="AI9" s="678"/>
      <c r="AJ9" s="678"/>
      <c r="AK9" s="765"/>
      <c r="AL9" s="422"/>
      <c r="AM9" s="422"/>
      <c r="AN9" s="422"/>
      <c r="AO9" s="422"/>
      <c r="AP9" s="874">
        <f t="shared" si="3"/>
        <v>1.8060157279997637</v>
      </c>
      <c r="AQ9" s="874"/>
      <c r="AR9" s="874"/>
      <c r="AS9" s="874"/>
      <c r="AT9" s="875"/>
      <c r="AU9" s="32">
        <f t="shared" si="1"/>
        <v>1</v>
      </c>
      <c r="AV9" s="32">
        <f t="shared" si="4"/>
        <v>1</v>
      </c>
      <c r="AW9" s="32">
        <f t="shared" si="5"/>
        <v>1</v>
      </c>
      <c r="AX9" s="32"/>
      <c r="AY9" s="32"/>
    </row>
    <row r="10" spans="1:51" ht="12" customHeight="1">
      <c r="B10" s="668">
        <v>60</v>
      </c>
      <c r="C10" s="669"/>
      <c r="D10" s="669"/>
      <c r="E10" s="669"/>
      <c r="F10" s="670"/>
      <c r="G10" s="795">
        <v>10</v>
      </c>
      <c r="H10" s="669"/>
      <c r="I10" s="669"/>
      <c r="J10" s="669"/>
      <c r="K10" s="670"/>
      <c r="L10" s="813"/>
      <c r="M10" s="680"/>
      <c r="N10" s="680"/>
      <c r="O10" s="680"/>
      <c r="P10" s="681"/>
      <c r="Q10" s="421">
        <f t="shared" si="0"/>
        <v>8760</v>
      </c>
      <c r="R10" s="421"/>
      <c r="S10" s="421"/>
      <c r="T10" s="421"/>
      <c r="U10" s="814"/>
      <c r="V10" s="820"/>
      <c r="W10" s="672"/>
      <c r="X10" s="672"/>
      <c r="Y10" s="672"/>
      <c r="Z10" s="672"/>
      <c r="AA10" s="672"/>
      <c r="AB10" s="672"/>
      <c r="AC10" s="672"/>
      <c r="AD10" s="821"/>
      <c r="AE10" s="18"/>
      <c r="AF10" s="677">
        <f t="shared" si="2"/>
        <v>1650.5680211686079</v>
      </c>
      <c r="AG10" s="678"/>
      <c r="AH10" s="678"/>
      <c r="AI10" s="678"/>
      <c r="AJ10" s="678"/>
      <c r="AK10" s="765"/>
      <c r="AL10" s="422"/>
      <c r="AM10" s="422"/>
      <c r="AN10" s="422"/>
      <c r="AO10" s="422"/>
      <c r="AP10" s="874">
        <f t="shared" si="3"/>
        <v>5.3072638556258287</v>
      </c>
      <c r="AQ10" s="874"/>
      <c r="AR10" s="874"/>
      <c r="AS10" s="874"/>
      <c r="AT10" s="875"/>
      <c r="AU10" s="32">
        <f>IF(G10="",0,1)*IF($AC$2="",0,1)</f>
        <v>1</v>
      </c>
      <c r="AV10" s="32">
        <f t="shared" si="4"/>
        <v>1</v>
      </c>
      <c r="AW10" s="32">
        <f t="shared" si="5"/>
        <v>1</v>
      </c>
      <c r="AX10" s="32"/>
      <c r="AY10" s="32"/>
    </row>
    <row r="11" spans="1:51" ht="12" customHeight="1">
      <c r="B11" s="668">
        <v>70</v>
      </c>
      <c r="C11" s="669"/>
      <c r="D11" s="669"/>
      <c r="E11" s="669"/>
      <c r="F11" s="670"/>
      <c r="G11" s="795">
        <v>10</v>
      </c>
      <c r="H11" s="669"/>
      <c r="I11" s="669"/>
      <c r="J11" s="669"/>
      <c r="K11" s="670"/>
      <c r="L11" s="813"/>
      <c r="M11" s="680"/>
      <c r="N11" s="680"/>
      <c r="O11" s="680"/>
      <c r="P11" s="681"/>
      <c r="Q11" s="421">
        <f t="shared" si="0"/>
        <v>8760</v>
      </c>
      <c r="R11" s="421"/>
      <c r="S11" s="421"/>
      <c r="T11" s="421"/>
      <c r="U11" s="814"/>
      <c r="V11" s="820"/>
      <c r="W11" s="672"/>
      <c r="X11" s="672"/>
      <c r="Y11" s="672"/>
      <c r="Z11" s="672"/>
      <c r="AA11" s="672"/>
      <c r="AB11" s="672"/>
      <c r="AC11" s="672"/>
      <c r="AD11" s="821"/>
      <c r="AE11" s="18"/>
      <c r="AF11" s="677">
        <f t="shared" si="2"/>
        <v>598.0943082287049</v>
      </c>
      <c r="AG11" s="678"/>
      <c r="AH11" s="678"/>
      <c r="AI11" s="678"/>
      <c r="AJ11" s="678"/>
      <c r="AK11" s="765"/>
      <c r="AL11" s="422"/>
      <c r="AM11" s="422"/>
      <c r="AN11" s="422"/>
      <c r="AO11" s="422"/>
      <c r="AP11" s="874">
        <f t="shared" si="3"/>
        <v>14.646519586423265</v>
      </c>
      <c r="AQ11" s="874"/>
      <c r="AR11" s="874"/>
      <c r="AS11" s="874"/>
      <c r="AT11" s="875"/>
      <c r="AU11" s="32">
        <f t="shared" ref="AU11:AU16" si="6">IF(G11="",0,1)*IF($AC$2="",0,1)</f>
        <v>1</v>
      </c>
      <c r="AV11" s="32">
        <f t="shared" si="4"/>
        <v>1</v>
      </c>
      <c r="AW11" s="32">
        <f t="shared" si="5"/>
        <v>1</v>
      </c>
      <c r="AX11" s="32"/>
      <c r="AY11" s="32"/>
    </row>
    <row r="12" spans="1:51" ht="12" customHeight="1">
      <c r="B12" s="668">
        <v>80</v>
      </c>
      <c r="C12" s="869"/>
      <c r="D12" s="869"/>
      <c r="E12" s="869"/>
      <c r="F12" s="870"/>
      <c r="G12" s="793">
        <v>10</v>
      </c>
      <c r="H12" s="793"/>
      <c r="I12" s="793"/>
      <c r="J12" s="793"/>
      <c r="K12" s="793"/>
      <c r="L12" s="765"/>
      <c r="M12" s="765"/>
      <c r="N12" s="765"/>
      <c r="O12" s="765"/>
      <c r="P12" s="765"/>
      <c r="Q12" s="421">
        <f t="shared" si="0"/>
        <v>8760</v>
      </c>
      <c r="R12" s="421"/>
      <c r="S12" s="421"/>
      <c r="T12" s="421"/>
      <c r="U12" s="814"/>
      <c r="V12" s="871"/>
      <c r="W12" s="872"/>
      <c r="X12" s="872"/>
      <c r="Y12" s="872"/>
      <c r="Z12" s="872"/>
      <c r="AA12" s="872"/>
      <c r="AB12" s="872"/>
      <c r="AC12" s="872"/>
      <c r="AD12" s="873"/>
      <c r="AE12" s="18"/>
      <c r="AF12" s="677">
        <f t="shared" si="2"/>
        <v>229.54795042567429</v>
      </c>
      <c r="AG12" s="678"/>
      <c r="AH12" s="678"/>
      <c r="AI12" s="678"/>
      <c r="AJ12" s="678"/>
      <c r="AK12" s="765"/>
      <c r="AL12" s="765"/>
      <c r="AM12" s="765"/>
      <c r="AN12" s="765"/>
      <c r="AO12" s="765"/>
      <c r="AP12" s="874">
        <f t="shared" si="3"/>
        <v>38.161961297216699</v>
      </c>
      <c r="AQ12" s="874"/>
      <c r="AR12" s="874"/>
      <c r="AS12" s="874"/>
      <c r="AT12" s="875"/>
      <c r="AU12" s="32">
        <f t="shared" si="6"/>
        <v>1</v>
      </c>
      <c r="AV12" s="32">
        <f t="shared" si="4"/>
        <v>1</v>
      </c>
      <c r="AW12" s="32">
        <f t="shared" si="5"/>
        <v>1</v>
      </c>
      <c r="AX12" s="32"/>
      <c r="AY12" s="32"/>
    </row>
    <row r="13" spans="1:51" ht="12" customHeight="1">
      <c r="B13" s="668">
        <v>90</v>
      </c>
      <c r="C13" s="869"/>
      <c r="D13" s="869"/>
      <c r="E13" s="869"/>
      <c r="F13" s="870"/>
      <c r="G13" s="794">
        <v>10</v>
      </c>
      <c r="H13" s="794"/>
      <c r="I13" s="794"/>
      <c r="J13" s="794"/>
      <c r="K13" s="794"/>
      <c r="L13" s="765"/>
      <c r="M13" s="765"/>
      <c r="N13" s="765"/>
      <c r="O13" s="765"/>
      <c r="P13" s="765"/>
      <c r="Q13" s="421">
        <f t="shared" si="0"/>
        <v>8760</v>
      </c>
      <c r="R13" s="421"/>
      <c r="S13" s="421"/>
      <c r="T13" s="421"/>
      <c r="U13" s="814"/>
      <c r="V13" s="871"/>
      <c r="W13" s="872"/>
      <c r="X13" s="872"/>
      <c r="Y13" s="872"/>
      <c r="Z13" s="872"/>
      <c r="AA13" s="872"/>
      <c r="AB13" s="872"/>
      <c r="AC13" s="872"/>
      <c r="AD13" s="873"/>
      <c r="AE13" s="18"/>
      <c r="AF13" s="677">
        <f t="shared" si="2"/>
        <v>92.871422677657705</v>
      </c>
      <c r="AG13" s="678"/>
      <c r="AH13" s="678"/>
      <c r="AI13" s="678"/>
      <c r="AJ13" s="678"/>
      <c r="AK13" s="765"/>
      <c r="AL13" s="765"/>
      <c r="AM13" s="765"/>
      <c r="AN13" s="765"/>
      <c r="AO13" s="765"/>
      <c r="AP13" s="874">
        <f t="shared" si="3"/>
        <v>94.32395614746423</v>
      </c>
      <c r="AQ13" s="874"/>
      <c r="AR13" s="874"/>
      <c r="AS13" s="874"/>
      <c r="AT13" s="875"/>
      <c r="AU13" s="32">
        <f t="shared" si="6"/>
        <v>1</v>
      </c>
      <c r="AV13" s="32">
        <f t="shared" si="4"/>
        <v>1</v>
      </c>
      <c r="AW13" s="32">
        <f t="shared" si="5"/>
        <v>1</v>
      </c>
      <c r="AX13" s="32"/>
      <c r="AY13" s="32"/>
    </row>
    <row r="14" spans="1:51" ht="12" customHeight="1">
      <c r="B14" s="668"/>
      <c r="C14" s="669"/>
      <c r="D14" s="669"/>
      <c r="E14" s="669"/>
      <c r="F14" s="670"/>
      <c r="G14" s="671"/>
      <c r="H14" s="672"/>
      <c r="I14" s="672"/>
      <c r="J14" s="672"/>
      <c r="K14" s="673"/>
      <c r="L14" s="813"/>
      <c r="M14" s="680"/>
      <c r="N14" s="680"/>
      <c r="O14" s="680"/>
      <c r="P14" s="681"/>
      <c r="Q14" s="421" t="str">
        <f>IF(AU14=0,"",365*24*$AC$2*G14/100)</f>
        <v/>
      </c>
      <c r="R14" s="421"/>
      <c r="S14" s="421"/>
      <c r="T14" s="421"/>
      <c r="U14" s="814"/>
      <c r="V14" s="820"/>
      <c r="W14" s="672"/>
      <c r="X14" s="672"/>
      <c r="Y14" s="672"/>
      <c r="Z14" s="672"/>
      <c r="AA14" s="672"/>
      <c r="AB14" s="672"/>
      <c r="AC14" s="672"/>
      <c r="AD14" s="821"/>
      <c r="AE14" s="18"/>
      <c r="AF14" s="677" t="str">
        <f t="shared" si="2"/>
        <v/>
      </c>
      <c r="AG14" s="678"/>
      <c r="AH14" s="678"/>
      <c r="AI14" s="678"/>
      <c r="AJ14" s="678"/>
      <c r="AK14" s="765"/>
      <c r="AL14" s="422"/>
      <c r="AM14" s="422"/>
      <c r="AN14" s="422"/>
      <c r="AO14" s="422"/>
      <c r="AP14" s="874" t="str">
        <f t="shared" si="3"/>
        <v/>
      </c>
      <c r="AQ14" s="874"/>
      <c r="AR14" s="874"/>
      <c r="AS14" s="874"/>
      <c r="AT14" s="875"/>
      <c r="AU14" s="32">
        <f t="shared" si="6"/>
        <v>0</v>
      </c>
      <c r="AV14" s="32">
        <f t="shared" si="4"/>
        <v>0</v>
      </c>
      <c r="AW14" s="32">
        <f t="shared" si="5"/>
        <v>0</v>
      </c>
      <c r="AX14" s="32"/>
      <c r="AY14" s="32"/>
    </row>
    <row r="15" spans="1:51" ht="12" customHeight="1">
      <c r="B15" s="668"/>
      <c r="C15" s="669"/>
      <c r="D15" s="669"/>
      <c r="E15" s="669"/>
      <c r="F15" s="670"/>
      <c r="G15" s="671"/>
      <c r="H15" s="672"/>
      <c r="I15" s="672"/>
      <c r="J15" s="672"/>
      <c r="K15" s="673"/>
      <c r="L15" s="813"/>
      <c r="M15" s="680"/>
      <c r="N15" s="680"/>
      <c r="O15" s="680"/>
      <c r="P15" s="681"/>
      <c r="Q15" s="421" t="str">
        <f>IF(AU15=0,"",365*24*$AC$2*G15/100)</f>
        <v/>
      </c>
      <c r="R15" s="421"/>
      <c r="S15" s="421"/>
      <c r="T15" s="421"/>
      <c r="U15" s="814"/>
      <c r="V15" s="820"/>
      <c r="W15" s="672"/>
      <c r="X15" s="672"/>
      <c r="Y15" s="672"/>
      <c r="Z15" s="672"/>
      <c r="AA15" s="672"/>
      <c r="AB15" s="672"/>
      <c r="AC15" s="672"/>
      <c r="AD15" s="821"/>
      <c r="AE15" s="18"/>
      <c r="AF15" s="677" t="str">
        <f t="shared" si="2"/>
        <v/>
      </c>
      <c r="AG15" s="678"/>
      <c r="AH15" s="678"/>
      <c r="AI15" s="678"/>
      <c r="AJ15" s="678"/>
      <c r="AK15" s="765"/>
      <c r="AL15" s="422"/>
      <c r="AM15" s="422"/>
      <c r="AN15" s="422"/>
      <c r="AO15" s="422"/>
      <c r="AP15" s="874" t="str">
        <f t="shared" si="3"/>
        <v/>
      </c>
      <c r="AQ15" s="874"/>
      <c r="AR15" s="874"/>
      <c r="AS15" s="874"/>
      <c r="AT15" s="875"/>
      <c r="AU15" s="32">
        <f t="shared" si="6"/>
        <v>0</v>
      </c>
      <c r="AV15" s="32">
        <f t="shared" si="4"/>
        <v>0</v>
      </c>
      <c r="AW15" s="32">
        <f t="shared" si="5"/>
        <v>0</v>
      </c>
      <c r="AX15" s="32"/>
      <c r="AY15" s="32"/>
    </row>
    <row r="16" spans="1:51" ht="12" customHeight="1" thickBot="1">
      <c r="B16" s="456"/>
      <c r="C16" s="383"/>
      <c r="D16" s="383"/>
      <c r="E16" s="383"/>
      <c r="F16" s="387"/>
      <c r="G16" s="775"/>
      <c r="H16" s="775"/>
      <c r="I16" s="775"/>
      <c r="J16" s="775"/>
      <c r="K16" s="775"/>
      <c r="L16" s="771"/>
      <c r="M16" s="771"/>
      <c r="N16" s="771"/>
      <c r="O16" s="771"/>
      <c r="P16" s="771"/>
      <c r="Q16" s="418" t="str">
        <f t="shared" si="0"/>
        <v/>
      </c>
      <c r="R16" s="418"/>
      <c r="S16" s="418"/>
      <c r="T16" s="418"/>
      <c r="U16" s="858"/>
      <c r="V16" s="859"/>
      <c r="W16" s="860"/>
      <c r="X16" s="860"/>
      <c r="Y16" s="860"/>
      <c r="Z16" s="860"/>
      <c r="AA16" s="860"/>
      <c r="AB16" s="860"/>
      <c r="AC16" s="860"/>
      <c r="AD16" s="861"/>
      <c r="AE16" s="18"/>
      <c r="AF16" s="757" t="str">
        <f t="shared" si="2"/>
        <v/>
      </c>
      <c r="AG16" s="758"/>
      <c r="AH16" s="758"/>
      <c r="AI16" s="758"/>
      <c r="AJ16" s="758"/>
      <c r="AK16" s="771"/>
      <c r="AL16" s="771"/>
      <c r="AM16" s="771"/>
      <c r="AN16" s="771"/>
      <c r="AO16" s="771"/>
      <c r="AP16" s="864" t="str">
        <f t="shared" si="3"/>
        <v/>
      </c>
      <c r="AQ16" s="864"/>
      <c r="AR16" s="864"/>
      <c r="AS16" s="864"/>
      <c r="AT16" s="865"/>
      <c r="AU16" s="32">
        <f t="shared" si="6"/>
        <v>0</v>
      </c>
      <c r="AV16" s="32">
        <f t="shared" si="4"/>
        <v>0</v>
      </c>
      <c r="AW16" s="32">
        <f t="shared" si="5"/>
        <v>0</v>
      </c>
      <c r="AX16" s="32"/>
      <c r="AY16" s="32"/>
    </row>
    <row r="17" spans="2:51" ht="12" customHeight="1" thickBot="1">
      <c r="B17" s="847" t="s">
        <v>59</v>
      </c>
      <c r="C17" s="848"/>
      <c r="D17" s="848"/>
      <c r="E17" s="848"/>
      <c r="F17" s="849"/>
      <c r="G17" s="850" t="str">
        <f>SUM(G7:K16)&amp;" (%)"</f>
        <v>100 (%)</v>
      </c>
      <c r="H17" s="851"/>
      <c r="I17" s="851"/>
      <c r="J17" s="851"/>
      <c r="K17" s="852"/>
      <c r="L17" s="31"/>
      <c r="M17" s="31"/>
      <c r="N17" s="31"/>
      <c r="O17" s="31"/>
      <c r="P17" s="31"/>
      <c r="Q17" s="850" t="str">
        <f>SUM(Q7:U16)&amp;" (h)"</f>
        <v>87600 (h)</v>
      </c>
      <c r="R17" s="862"/>
      <c r="S17" s="862"/>
      <c r="T17" s="862"/>
      <c r="U17" s="863"/>
      <c r="V17" s="18"/>
      <c r="W17" s="18"/>
      <c r="X17" s="18"/>
      <c r="Y17" s="18"/>
      <c r="Z17" s="18"/>
      <c r="AA17" s="18"/>
      <c r="AB17" s="18"/>
      <c r="AC17" s="18"/>
      <c r="AD17" s="18"/>
      <c r="AE17" s="18"/>
      <c r="AF17" s="9"/>
      <c r="AG17" s="9"/>
      <c r="AH17" s="9"/>
      <c r="AI17" s="9"/>
      <c r="AJ17" s="9"/>
      <c r="AK17" s="590" t="s">
        <v>58</v>
      </c>
      <c r="AL17" s="591"/>
      <c r="AM17" s="591"/>
      <c r="AN17" s="591"/>
      <c r="AO17" s="648"/>
      <c r="AP17" s="866">
        <f>SUM(AP7:AT16)</f>
        <v>155.89994481471246</v>
      </c>
      <c r="AQ17" s="867"/>
      <c r="AR17" s="867"/>
      <c r="AS17" s="867"/>
      <c r="AT17" s="868"/>
      <c r="AU17" s="32"/>
      <c r="AV17" s="32"/>
      <c r="AW17" s="32"/>
      <c r="AX17" s="32"/>
      <c r="AY17" s="32"/>
    </row>
    <row r="18" spans="2:51" ht="5" customHeight="1" thickBot="1"/>
    <row r="19" spans="2:51" ht="12" customHeight="1" thickBot="1">
      <c r="B19" s="768"/>
      <c r="C19" s="769"/>
      <c r="D19" s="769"/>
      <c r="E19" s="769"/>
      <c r="F19" s="769"/>
      <c r="G19" s="769"/>
      <c r="H19" s="769"/>
      <c r="I19" s="769"/>
      <c r="J19" s="769"/>
      <c r="K19" s="769"/>
      <c r="L19" s="769"/>
      <c r="M19" s="769"/>
      <c r="N19" s="769"/>
      <c r="O19" s="769"/>
      <c r="P19" s="769"/>
      <c r="Q19" s="769"/>
      <c r="R19" s="769"/>
      <c r="S19" s="769"/>
      <c r="T19" s="769"/>
      <c r="U19" s="770"/>
      <c r="X19" s="822" t="s">
        <v>117</v>
      </c>
      <c r="Y19" s="225"/>
      <c r="Z19" s="225"/>
      <c r="AA19" s="225"/>
      <c r="AB19" s="225"/>
      <c r="AC19" s="225"/>
      <c r="AD19" s="225"/>
      <c r="AE19" s="225"/>
      <c r="AF19" s="225"/>
      <c r="AG19" s="225"/>
      <c r="AH19" s="225"/>
      <c r="AI19" s="225"/>
      <c r="AJ19" s="225"/>
      <c r="AK19" s="225"/>
      <c r="AL19" s="226"/>
    </row>
    <row r="20" spans="2:51" ht="12" customHeight="1">
      <c r="B20" s="843"/>
      <c r="C20" s="844"/>
      <c r="D20" s="844"/>
      <c r="E20" s="844"/>
      <c r="F20" s="845"/>
      <c r="G20" s="846"/>
      <c r="H20" s="844"/>
      <c r="I20" s="844"/>
      <c r="J20" s="844"/>
      <c r="K20" s="845"/>
      <c r="L20" s="846"/>
      <c r="M20" s="844"/>
      <c r="N20" s="844"/>
      <c r="O20" s="844"/>
      <c r="P20" s="845"/>
      <c r="Q20" s="846"/>
      <c r="R20" s="844"/>
      <c r="S20" s="844"/>
      <c r="T20" s="844"/>
      <c r="U20" s="857"/>
      <c r="X20" s="823"/>
      <c r="Y20" s="254"/>
      <c r="Z20" s="254"/>
      <c r="AA20" s="254"/>
      <c r="AB20" s="254"/>
      <c r="AC20" s="254"/>
      <c r="AD20" s="254"/>
      <c r="AE20" s="254"/>
      <c r="AF20" s="254"/>
      <c r="AG20" s="254"/>
      <c r="AH20" s="254"/>
      <c r="AI20" s="254"/>
      <c r="AJ20" s="254"/>
      <c r="AK20" s="254"/>
      <c r="AL20" s="255"/>
      <c r="AW20" s="2"/>
    </row>
    <row r="21" spans="2:51" ht="12" customHeight="1" thickBot="1">
      <c r="B21" s="742"/>
      <c r="C21" s="633"/>
      <c r="D21" s="633"/>
      <c r="E21" s="633"/>
      <c r="F21" s="743"/>
      <c r="G21" s="632"/>
      <c r="H21" s="633"/>
      <c r="I21" s="633"/>
      <c r="J21" s="633"/>
      <c r="K21" s="743"/>
      <c r="L21" s="632"/>
      <c r="M21" s="633"/>
      <c r="N21" s="633"/>
      <c r="O21" s="633"/>
      <c r="P21" s="743"/>
      <c r="Q21" s="632"/>
      <c r="R21" s="633"/>
      <c r="S21" s="633"/>
      <c r="T21" s="633"/>
      <c r="U21" s="634"/>
      <c r="X21" s="478">
        <f>AP17</f>
        <v>155.89994481471246</v>
      </c>
      <c r="Y21" s="815"/>
      <c r="Z21" s="815"/>
      <c r="AA21" s="815"/>
      <c r="AB21" s="815"/>
      <c r="AC21" s="815"/>
      <c r="AD21" s="815"/>
      <c r="AE21" s="815"/>
      <c r="AF21" s="815"/>
      <c r="AG21" s="815"/>
      <c r="AH21" s="815"/>
      <c r="AI21" s="815"/>
      <c r="AJ21" s="815"/>
      <c r="AK21" s="815"/>
      <c r="AL21" s="816"/>
      <c r="AX21" s="3"/>
    </row>
    <row r="22" spans="2:51" ht="5" customHeight="1" thickBot="1">
      <c r="B22" s="3"/>
      <c r="C22" s="3"/>
      <c r="D22" s="3"/>
      <c r="E22" s="3"/>
      <c r="F22" s="3"/>
      <c r="G22" s="3"/>
      <c r="H22" s="3"/>
      <c r="I22" s="3"/>
      <c r="J22" s="3"/>
      <c r="K22" s="3"/>
      <c r="L22" s="3"/>
      <c r="M22" s="3"/>
      <c r="N22" s="3"/>
      <c r="O22" s="3"/>
      <c r="P22" s="3"/>
      <c r="Q22" s="3"/>
      <c r="R22" s="3"/>
      <c r="S22" s="3"/>
      <c r="T22" s="3"/>
      <c r="U22" s="3"/>
    </row>
    <row r="23" spans="2:51" ht="12" customHeight="1">
      <c r="B23" s="687" t="s">
        <v>71</v>
      </c>
      <c r="C23" s="688"/>
      <c r="D23" s="688"/>
      <c r="E23" s="688"/>
      <c r="F23" s="688"/>
      <c r="G23" s="688"/>
      <c r="H23" s="688"/>
      <c r="I23" s="688"/>
      <c r="J23" s="688"/>
      <c r="K23" s="688"/>
      <c r="L23" s="688"/>
      <c r="M23" s="688"/>
      <c r="N23" s="688"/>
      <c r="O23" s="688"/>
      <c r="P23" s="688"/>
      <c r="Q23" s="688"/>
      <c r="R23" s="688"/>
      <c r="S23" s="688"/>
      <c r="T23" s="688"/>
      <c r="U23" s="689"/>
      <c r="X23" s="163" t="s">
        <v>94</v>
      </c>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5"/>
    </row>
    <row r="24" spans="2:51" ht="12" customHeight="1">
      <c r="B24" s="573" t="s">
        <v>12</v>
      </c>
      <c r="C24" s="574"/>
      <c r="D24" s="574"/>
      <c r="E24" s="574"/>
      <c r="F24" s="575"/>
      <c r="G24" s="853"/>
      <c r="H24" s="854"/>
      <c r="I24" s="854"/>
      <c r="J24" s="854"/>
      <c r="K24" s="855"/>
      <c r="L24" s="853"/>
      <c r="M24" s="854"/>
      <c r="N24" s="854"/>
      <c r="O24" s="854"/>
      <c r="P24" s="855"/>
      <c r="Q24" s="853"/>
      <c r="R24" s="854"/>
      <c r="S24" s="854"/>
      <c r="T24" s="854"/>
      <c r="U24" s="856"/>
      <c r="X24" s="375" t="s">
        <v>130</v>
      </c>
      <c r="Y24" s="376"/>
      <c r="Z24" s="376"/>
      <c r="AA24" s="376"/>
      <c r="AB24" s="376"/>
      <c r="AC24" s="376"/>
      <c r="AD24" s="376"/>
      <c r="AE24" s="376"/>
      <c r="AF24" s="376"/>
      <c r="AG24" s="376"/>
      <c r="AH24" s="376"/>
      <c r="AI24" s="376"/>
      <c r="AJ24" s="376"/>
      <c r="AK24" s="376"/>
      <c r="AL24" s="376"/>
      <c r="AM24" s="376"/>
      <c r="AN24" s="376"/>
      <c r="AO24" s="376"/>
      <c r="AP24" s="376"/>
      <c r="AQ24" s="376"/>
      <c r="AR24" s="376"/>
      <c r="AS24" s="376"/>
      <c r="AT24" s="377"/>
      <c r="AV24" s="3"/>
      <c r="AY24" s="4"/>
    </row>
    <row r="25" spans="2:51" ht="12" customHeight="1" thickBot="1">
      <c r="B25" s="456">
        <v>150</v>
      </c>
      <c r="C25" s="383"/>
      <c r="D25" s="383"/>
      <c r="E25" s="383"/>
      <c r="F25" s="387"/>
      <c r="G25" s="632"/>
      <c r="H25" s="633"/>
      <c r="I25" s="633"/>
      <c r="J25" s="633"/>
      <c r="K25" s="743"/>
      <c r="L25" s="632"/>
      <c r="M25" s="633"/>
      <c r="N25" s="633"/>
      <c r="O25" s="633"/>
      <c r="P25" s="743"/>
      <c r="Q25" s="632"/>
      <c r="R25" s="633"/>
      <c r="S25" s="633"/>
      <c r="T25" s="633"/>
      <c r="U25" s="634"/>
      <c r="X25" s="684"/>
      <c r="Y25" s="685"/>
      <c r="Z25" s="685"/>
      <c r="AA25" s="685"/>
      <c r="AB25" s="685"/>
      <c r="AC25" s="685"/>
      <c r="AD25" s="685"/>
      <c r="AE25" s="685"/>
      <c r="AF25" s="685"/>
      <c r="AG25" s="685"/>
      <c r="AH25" s="685"/>
      <c r="AI25" s="685"/>
      <c r="AJ25" s="685"/>
      <c r="AK25" s="685"/>
      <c r="AL25" s="685"/>
      <c r="AM25" s="685"/>
      <c r="AN25" s="685"/>
      <c r="AO25" s="685"/>
      <c r="AP25" s="685"/>
      <c r="AQ25" s="685"/>
      <c r="AR25" s="685"/>
      <c r="AS25" s="685"/>
      <c r="AT25" s="686"/>
    </row>
    <row r="26" spans="2:51" ht="12" customHeight="1" thickBot="1">
      <c r="B26" s="3"/>
      <c r="C26" s="3"/>
      <c r="D26" s="3"/>
      <c r="E26" s="3"/>
      <c r="F26" s="3"/>
      <c r="G26" s="3"/>
      <c r="H26" s="3"/>
      <c r="I26" s="3"/>
      <c r="J26" s="3"/>
      <c r="K26" s="3"/>
      <c r="L26" s="3"/>
      <c r="M26" s="3"/>
      <c r="N26" s="3"/>
      <c r="O26" s="3"/>
      <c r="P26" s="3"/>
      <c r="Q26" s="3"/>
      <c r="R26" s="3"/>
      <c r="S26" s="3"/>
      <c r="T26" s="3"/>
      <c r="U26" s="3"/>
      <c r="X26" s="99" t="str">
        <f ca="1">IF(AE36=0,"  * This sheet is not available, please see the top sheet.","")</f>
        <v/>
      </c>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2"/>
      <c r="AX26" s="1" ph="1"/>
    </row>
    <row r="27" spans="2:51" ht="12" customHeight="1">
      <c r="B27" s="835" t="s">
        <v>119</v>
      </c>
      <c r="C27" s="836"/>
      <c r="D27" s="836"/>
      <c r="E27" s="836"/>
      <c r="F27" s="836"/>
      <c r="G27" s="836"/>
      <c r="H27" s="836"/>
      <c r="I27" s="836"/>
      <c r="J27" s="836"/>
      <c r="K27" s="836"/>
      <c r="L27" s="836"/>
      <c r="M27" s="836"/>
      <c r="N27" s="837"/>
      <c r="O27" s="837"/>
      <c r="P27" s="837"/>
      <c r="Q27" s="837"/>
      <c r="R27" s="837"/>
      <c r="S27" s="837"/>
      <c r="T27" s="837"/>
      <c r="U27" s="838"/>
      <c r="X27" s="21"/>
      <c r="Y27" s="437" t="s">
        <v>14</v>
      </c>
      <c r="Z27" s="438"/>
      <c r="AA27" s="438"/>
      <c r="AB27" s="439"/>
      <c r="AC27" s="192" t="s">
        <v>15</v>
      </c>
      <c r="AD27" s="391"/>
      <c r="AE27" s="391"/>
      <c r="AF27" s="392"/>
      <c r="AG27" s="192" t="s">
        <v>16</v>
      </c>
      <c r="AH27" s="391"/>
      <c r="AI27" s="391"/>
      <c r="AJ27" s="396"/>
      <c r="AK27" s="5"/>
      <c r="AL27" s="436" t="s">
        <v>15</v>
      </c>
      <c r="AM27" s="391"/>
      <c r="AN27" s="391"/>
      <c r="AO27" s="392"/>
      <c r="AP27" s="192" t="s">
        <v>16</v>
      </c>
      <c r="AQ27" s="391"/>
      <c r="AR27" s="391"/>
      <c r="AS27" s="396"/>
      <c r="AT27" s="6"/>
    </row>
    <row r="28" spans="2:51" ht="12" customHeight="1" thickBot="1">
      <c r="B28" s="832" t="s">
        <v>88</v>
      </c>
      <c r="C28" s="833"/>
      <c r="D28" s="833"/>
      <c r="E28" s="833"/>
      <c r="F28" s="833"/>
      <c r="G28" s="833"/>
      <c r="H28" s="833"/>
      <c r="I28" s="833"/>
      <c r="J28" s="833"/>
      <c r="K28" s="833"/>
      <c r="L28" s="833"/>
      <c r="M28" s="833"/>
      <c r="N28" s="833"/>
      <c r="O28" s="833"/>
      <c r="P28" s="833"/>
      <c r="Q28" s="833"/>
      <c r="R28" s="833"/>
      <c r="S28" s="833"/>
      <c r="T28" s="833"/>
      <c r="U28" s="834"/>
      <c r="X28" s="21"/>
      <c r="Y28" s="708"/>
      <c r="Z28" s="709"/>
      <c r="AA28" s="709"/>
      <c r="AB28" s="710"/>
      <c r="AC28" s="434"/>
      <c r="AD28" s="416"/>
      <c r="AE28" s="416"/>
      <c r="AF28" s="417"/>
      <c r="AG28" s="434"/>
      <c r="AH28" s="416"/>
      <c r="AI28" s="416"/>
      <c r="AJ28" s="435"/>
      <c r="AK28" s="5"/>
      <c r="AL28" s="415"/>
      <c r="AM28" s="416"/>
      <c r="AN28" s="416"/>
      <c r="AO28" s="417"/>
      <c r="AP28" s="434"/>
      <c r="AQ28" s="416"/>
      <c r="AR28" s="416"/>
      <c r="AS28" s="435"/>
      <c r="AT28" s="6"/>
    </row>
    <row r="29" spans="2:51" ht="12" customHeight="1" thickBot="1">
      <c r="B29" s="824" t="s">
        <v>33</v>
      </c>
      <c r="C29" s="825"/>
      <c r="D29" s="825"/>
      <c r="E29" s="825"/>
      <c r="F29" s="826"/>
      <c r="G29" s="724"/>
      <c r="H29" s="722"/>
      <c r="I29" s="722"/>
      <c r="J29" s="722"/>
      <c r="K29" s="723"/>
      <c r="L29" s="724"/>
      <c r="M29" s="722"/>
      <c r="N29" s="722"/>
      <c r="O29" s="722"/>
      <c r="P29" s="723"/>
      <c r="Q29" s="724"/>
      <c r="R29" s="722"/>
      <c r="S29" s="722"/>
      <c r="T29" s="722"/>
      <c r="U29" s="725"/>
      <c r="X29" s="21"/>
      <c r="Y29" s="704">
        <v>1</v>
      </c>
      <c r="Z29" s="705"/>
      <c r="AA29" s="705"/>
      <c r="AB29" s="706"/>
      <c r="AC29" s="840">
        <f>IF(Y29="","",IF($AV$29=0,"",ROUNDUP(LN(1-$P$34/100)/LN(1-Y29/100),0)))</f>
        <v>230</v>
      </c>
      <c r="AD29" s="841"/>
      <c r="AE29" s="841"/>
      <c r="AF29" s="842"/>
      <c r="AG29" s="659">
        <f>IF(Y29="","",IF($AV$29=0,"",ROUNDUP($X$21*((1/AC29)*LN(1-$P$34/100)/LN(1-$B$34/100))^(1/$I$34),0)))</f>
        <v>278</v>
      </c>
      <c r="AH29" s="660"/>
      <c r="AI29" s="660"/>
      <c r="AJ29" s="707"/>
      <c r="AK29" s="5"/>
      <c r="AL29" s="157">
        <v>45</v>
      </c>
      <c r="AM29" s="158"/>
      <c r="AN29" s="158"/>
      <c r="AO29" s="159"/>
      <c r="AP29" s="160">
        <f>IF(AL29="","",IF(AV29=0,"",ROUNDUP($X$21*(((1/$AL$29)*LN(1-$P$34/100))/LN(1-$B$34/100))^(1/$I$34),0)))</f>
        <v>417</v>
      </c>
      <c r="AQ29" s="161"/>
      <c r="AR29" s="161"/>
      <c r="AS29" s="162"/>
      <c r="AT29" s="6"/>
      <c r="AV29" s="1">
        <f>IF(B34="",0,1)*IF(I34="",0,1)*IF(P34="",0,1)</f>
        <v>1</v>
      </c>
    </row>
    <row r="30" spans="2:51" ht="12" customHeight="1" thickBot="1">
      <c r="B30" s="712">
        <v>1</v>
      </c>
      <c r="C30" s="827"/>
      <c r="D30" s="827"/>
      <c r="E30" s="827"/>
      <c r="F30" s="828"/>
      <c r="G30" s="829"/>
      <c r="H30" s="830"/>
      <c r="I30" s="830"/>
      <c r="J30" s="830"/>
      <c r="K30" s="831"/>
      <c r="L30" s="829"/>
      <c r="M30" s="830"/>
      <c r="N30" s="830"/>
      <c r="O30" s="830"/>
      <c r="P30" s="831"/>
      <c r="Q30" s="829"/>
      <c r="R30" s="830"/>
      <c r="S30" s="830"/>
      <c r="T30" s="830"/>
      <c r="U30" s="839"/>
      <c r="X30" s="21"/>
      <c r="Y30" s="683">
        <v>2</v>
      </c>
      <c r="Z30" s="672"/>
      <c r="AA30" s="672"/>
      <c r="AB30" s="673"/>
      <c r="AC30" s="817">
        <f>IF(Y30="","",IF($AV$29=0,"",ROUNDUP(LN(1-$P$34/100)/LN(1-Y30/100),0)))</f>
        <v>114</v>
      </c>
      <c r="AD30" s="818"/>
      <c r="AE30" s="818"/>
      <c r="AF30" s="819"/>
      <c r="AG30" s="679">
        <f>IF(Y30="","",IF($AV$29=0,"",ROUNDUP($X$21*((1/AC30)*LN(1-$P$34/100)/LN(1-$B$34/100))^(1/$I$34),0)))</f>
        <v>331</v>
      </c>
      <c r="AH30" s="680"/>
      <c r="AI30" s="680"/>
      <c r="AJ30" s="682"/>
      <c r="AK30" s="5"/>
      <c r="AL30" s="7"/>
      <c r="AM30" s="7"/>
      <c r="AN30" s="7"/>
      <c r="AO30" s="7"/>
      <c r="AP30" s="7"/>
      <c r="AQ30" s="7"/>
      <c r="AR30" s="7"/>
      <c r="AS30" s="7"/>
      <c r="AT30" s="6"/>
    </row>
    <row r="31" spans="2:51" ht="12" customHeight="1" thickBot="1">
      <c r="B31" s="3"/>
      <c r="C31" s="3"/>
      <c r="D31" s="3"/>
      <c r="E31" s="3"/>
      <c r="F31" s="3"/>
      <c r="G31" s="3"/>
      <c r="H31" s="3"/>
      <c r="I31" s="3"/>
      <c r="J31" s="3"/>
      <c r="K31" s="3"/>
      <c r="L31" s="3"/>
      <c r="M31" s="3"/>
      <c r="N31" s="3"/>
      <c r="O31" s="3"/>
      <c r="P31" s="3"/>
      <c r="Q31" s="3"/>
      <c r="R31" s="3"/>
      <c r="S31" s="3"/>
      <c r="T31" s="3"/>
      <c r="U31" s="3"/>
      <c r="X31" s="21"/>
      <c r="Y31" s="683">
        <v>5</v>
      </c>
      <c r="Z31" s="672"/>
      <c r="AA31" s="672"/>
      <c r="AB31" s="673"/>
      <c r="AC31" s="817">
        <f t="shared" ref="AC31:AC33" si="7">IF(Y31="","",IF($AV$29=0,"",ROUNDUP(LN(1-$P$34/100)/LN(1-Y31/100),0)))</f>
        <v>45</v>
      </c>
      <c r="AD31" s="818"/>
      <c r="AE31" s="818"/>
      <c r="AF31" s="819"/>
      <c r="AG31" s="679">
        <f t="shared" ref="AG31:AG33" si="8">IF(Y31="","",IF($AV$29=0,"",ROUNDUP($X$21*((1/AC31)*LN(1-$P$34/100)/LN(1-$B$34/100))^(1/$I$34),0)))</f>
        <v>417</v>
      </c>
      <c r="AH31" s="680"/>
      <c r="AI31" s="680"/>
      <c r="AJ31" s="682"/>
      <c r="AK31" s="5"/>
      <c r="AL31" s="186" t="s">
        <v>16</v>
      </c>
      <c r="AM31" s="391"/>
      <c r="AN31" s="391"/>
      <c r="AO31" s="392"/>
      <c r="AP31" s="192" t="s">
        <v>15</v>
      </c>
      <c r="AQ31" s="391"/>
      <c r="AR31" s="391"/>
      <c r="AS31" s="396"/>
      <c r="AT31" s="6"/>
    </row>
    <row r="32" spans="2:51" ht="12" customHeight="1" thickBot="1">
      <c r="B32" s="646" t="s">
        <v>17</v>
      </c>
      <c r="C32" s="696"/>
      <c r="D32" s="696"/>
      <c r="E32" s="696"/>
      <c r="F32" s="696"/>
      <c r="G32" s="696"/>
      <c r="H32" s="697"/>
      <c r="I32" s="649" t="s">
        <v>18</v>
      </c>
      <c r="J32" s="696"/>
      <c r="K32" s="696"/>
      <c r="L32" s="696"/>
      <c r="M32" s="696"/>
      <c r="N32" s="696"/>
      <c r="O32" s="697"/>
      <c r="P32" s="649" t="s">
        <v>19</v>
      </c>
      <c r="Q32" s="696"/>
      <c r="R32" s="696"/>
      <c r="S32" s="696"/>
      <c r="T32" s="696"/>
      <c r="U32" s="702"/>
      <c r="X32" s="21"/>
      <c r="Y32" s="683">
        <v>10</v>
      </c>
      <c r="Z32" s="672"/>
      <c r="AA32" s="672"/>
      <c r="AB32" s="673"/>
      <c r="AC32" s="817">
        <f t="shared" si="7"/>
        <v>22</v>
      </c>
      <c r="AD32" s="818"/>
      <c r="AE32" s="818"/>
      <c r="AF32" s="819"/>
      <c r="AG32" s="679">
        <f t="shared" si="8"/>
        <v>499</v>
      </c>
      <c r="AH32" s="680"/>
      <c r="AI32" s="680"/>
      <c r="AJ32" s="682"/>
      <c r="AK32" s="5"/>
      <c r="AL32" s="415"/>
      <c r="AM32" s="416"/>
      <c r="AN32" s="416"/>
      <c r="AO32" s="417"/>
      <c r="AP32" s="434"/>
      <c r="AQ32" s="416"/>
      <c r="AR32" s="416"/>
      <c r="AS32" s="435"/>
      <c r="AT32" s="6"/>
    </row>
    <row r="33" spans="2:46" ht="12" customHeight="1" thickBot="1">
      <c r="B33" s="698"/>
      <c r="C33" s="699"/>
      <c r="D33" s="699"/>
      <c r="E33" s="699"/>
      <c r="F33" s="699"/>
      <c r="G33" s="699"/>
      <c r="H33" s="700"/>
      <c r="I33" s="701"/>
      <c r="J33" s="699"/>
      <c r="K33" s="699"/>
      <c r="L33" s="699"/>
      <c r="M33" s="699"/>
      <c r="N33" s="699"/>
      <c r="O33" s="700"/>
      <c r="P33" s="701"/>
      <c r="Q33" s="699"/>
      <c r="R33" s="699"/>
      <c r="S33" s="699"/>
      <c r="T33" s="699"/>
      <c r="U33" s="703"/>
      <c r="X33" s="21"/>
      <c r="Y33" s="712">
        <v>20</v>
      </c>
      <c r="Z33" s="713"/>
      <c r="AA33" s="713"/>
      <c r="AB33" s="714"/>
      <c r="AC33" s="729">
        <f t="shared" si="7"/>
        <v>11</v>
      </c>
      <c r="AD33" s="409"/>
      <c r="AE33" s="409"/>
      <c r="AF33" s="410"/>
      <c r="AG33" s="662">
        <f t="shared" si="8"/>
        <v>593</v>
      </c>
      <c r="AH33" s="663"/>
      <c r="AI33" s="663"/>
      <c r="AJ33" s="665"/>
      <c r="AK33" s="7"/>
      <c r="AL33" s="157">
        <v>417</v>
      </c>
      <c r="AM33" s="158"/>
      <c r="AN33" s="158"/>
      <c r="AO33" s="159"/>
      <c r="AP33" s="160">
        <f>IF(AL33="","",IF(AV29=0,"",ROUNDUP((($X$21/$AL$33)^$I$34)*(LN(1-$P$34/100)/LN(1-$B$34/100)),0)))</f>
        <v>45</v>
      </c>
      <c r="AQ33" s="161"/>
      <c r="AR33" s="161"/>
      <c r="AS33" s="162"/>
      <c r="AT33" s="6"/>
    </row>
    <row r="34" spans="2:46" ht="12" customHeight="1" thickBot="1">
      <c r="B34" s="157">
        <v>0.1</v>
      </c>
      <c r="C34" s="693"/>
      <c r="D34" s="693"/>
      <c r="E34" s="693"/>
      <c r="F34" s="693"/>
      <c r="G34" s="693"/>
      <c r="H34" s="694"/>
      <c r="I34" s="454">
        <v>4</v>
      </c>
      <c r="J34" s="693"/>
      <c r="K34" s="693"/>
      <c r="L34" s="693"/>
      <c r="M34" s="693"/>
      <c r="N34" s="693"/>
      <c r="O34" s="694"/>
      <c r="P34" s="454">
        <v>90</v>
      </c>
      <c r="Q34" s="693"/>
      <c r="R34" s="693"/>
      <c r="S34" s="693"/>
      <c r="T34" s="693"/>
      <c r="U34" s="695"/>
      <c r="X34" s="22"/>
      <c r="Y34" s="23"/>
      <c r="Z34" s="23"/>
      <c r="AA34" s="23"/>
      <c r="AB34" s="23"/>
      <c r="AC34" s="23"/>
      <c r="AD34" s="23"/>
      <c r="AE34" s="23"/>
      <c r="AF34" s="23"/>
      <c r="AG34" s="23"/>
      <c r="AH34" s="23"/>
      <c r="AI34" s="23"/>
      <c r="AJ34" s="23"/>
      <c r="AK34" s="23"/>
      <c r="AL34" s="23"/>
      <c r="AM34" s="23"/>
      <c r="AN34" s="23"/>
      <c r="AO34" s="23"/>
      <c r="AP34" s="23"/>
      <c r="AQ34" s="23"/>
      <c r="AR34" s="23"/>
      <c r="AS34" s="23"/>
      <c r="AT34" s="24"/>
    </row>
    <row r="35" spans="2:46" s="76" customFormat="1" ht="15" customHeight="1"/>
    <row r="36" spans="2:46" s="76" customFormat="1" ht="15" hidden="1" customHeight="1">
      <c r="B36" s="66"/>
      <c r="C36" s="66"/>
      <c r="D36" s="66"/>
      <c r="E36" s="66"/>
      <c r="F36" s="66"/>
      <c r="G36" s="66"/>
      <c r="H36" s="66"/>
      <c r="I36" s="66"/>
      <c r="J36" s="66"/>
      <c r="K36" s="66"/>
      <c r="L36" s="66"/>
      <c r="M36" s="66"/>
      <c r="N36" s="66"/>
      <c r="O36" s="66"/>
      <c r="P36" s="59"/>
      <c r="Q36" s="59"/>
      <c r="R36" s="59"/>
      <c r="S36" s="59"/>
      <c r="T36" s="59"/>
      <c r="U36" s="59"/>
      <c r="V36" s="59"/>
      <c r="W36" s="59"/>
      <c r="X36" s="59" t="s">
        <v>53</v>
      </c>
      <c r="Y36" s="59">
        <v>1</v>
      </c>
      <c r="Z36" s="59">
        <v>0.3</v>
      </c>
      <c r="AA36" s="59">
        <v>3</v>
      </c>
      <c r="AB36" s="59"/>
      <c r="AC36" s="59"/>
      <c r="AD36" s="59"/>
      <c r="AE36" s="71">
        <f ca="1">'Top sheet'!D34</f>
        <v>1</v>
      </c>
      <c r="AF36" s="59"/>
      <c r="AG36" s="66"/>
    </row>
    <row r="37" spans="2:46" s="76" customFormat="1" ht="15" hidden="1" customHeight="1">
      <c r="B37" s="66"/>
      <c r="C37" s="66"/>
      <c r="D37" s="66"/>
      <c r="E37" s="66"/>
      <c r="F37" s="66"/>
      <c r="G37" s="66"/>
      <c r="H37" s="66"/>
      <c r="I37" s="66"/>
      <c r="J37" s="66"/>
      <c r="K37" s="66"/>
      <c r="L37" s="66"/>
      <c r="M37" s="66"/>
      <c r="N37" s="66"/>
      <c r="O37" s="66"/>
      <c r="P37" s="59"/>
      <c r="Q37" s="59"/>
      <c r="R37" s="59"/>
      <c r="S37" s="59"/>
      <c r="T37" s="59"/>
      <c r="U37" s="59"/>
      <c r="V37" s="59"/>
      <c r="W37" s="59"/>
      <c r="X37" s="59" t="s">
        <v>54</v>
      </c>
      <c r="Y37" s="59">
        <v>4</v>
      </c>
      <c r="Z37" s="59">
        <v>2</v>
      </c>
      <c r="AA37" s="59">
        <v>15</v>
      </c>
      <c r="AB37" s="59"/>
      <c r="AC37" s="59"/>
      <c r="AD37" s="59"/>
      <c r="AE37" s="59"/>
      <c r="AF37" s="59"/>
      <c r="AG37" s="66"/>
    </row>
    <row r="38" spans="2:46" ht="15" customHeight="1">
      <c r="B38" s="66"/>
      <c r="C38" s="66"/>
      <c r="D38" s="66"/>
      <c r="E38" s="66"/>
      <c r="F38" s="66"/>
      <c r="G38" s="66"/>
      <c r="H38" s="66"/>
      <c r="I38" s="66"/>
      <c r="J38" s="66"/>
      <c r="K38" s="66"/>
      <c r="L38" s="66"/>
      <c r="M38" s="66"/>
      <c r="N38" s="66"/>
      <c r="O38" s="66"/>
      <c r="P38" s="59"/>
      <c r="Q38" s="59"/>
      <c r="R38" s="59"/>
      <c r="S38" s="59"/>
      <c r="T38" s="59"/>
      <c r="U38" s="59"/>
      <c r="V38" s="59"/>
      <c r="W38" s="59"/>
      <c r="X38" s="59"/>
      <c r="Y38" s="59"/>
      <c r="Z38" s="59"/>
      <c r="AA38" s="59"/>
      <c r="AB38" s="59"/>
      <c r="AC38" s="59"/>
      <c r="AD38" s="59"/>
      <c r="AE38" s="59"/>
      <c r="AF38" s="59"/>
      <c r="AG38" s="66"/>
    </row>
    <row r="39" spans="2:46" ht="15" customHeight="1">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row>
    <row r="40" spans="2:46" ht="15" customHeight="1">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row>
    <row r="41" spans="2:46" ht="15" customHeight="1">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row>
    <row r="42" spans="2:46" ht="15" customHeight="1">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row>
    <row r="43" spans="2:46" ht="15" customHeight="1">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row>
    <row r="44" spans="2:46" ht="15" customHeight="1">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row>
    <row r="45" spans="2:46" ht="15" customHeight="1"/>
    <row r="46" spans="2:46" ht="15" customHeight="1"/>
    <row r="47" spans="2:46" ht="15" customHeight="1"/>
    <row r="48" spans="2:4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95" spans="16:16">
      <c r="P95" s="1">
        <v>90</v>
      </c>
    </row>
  </sheetData>
  <sheetProtection algorithmName="SHA-512" hashValue="GO1fJvHD/tnRK0HvLWB0+Pg8uyA1YO8EKV/1Y0Xm+lm2et7v6sHDrPIFv2E0c8lzjzV+gK46HjBWW6yWMRPoHQ==" saltValue="tdvAijZsHnsEqpuNvToCfQ==" spinCount="100000" sheet="1" objects="1" scenarios="1" selectLockedCells="1"/>
  <mergeCells count="162">
    <mergeCell ref="G9:K9"/>
    <mergeCell ref="G10:K10"/>
    <mergeCell ref="G11:K11"/>
    <mergeCell ref="L9:P9"/>
    <mergeCell ref="L10:P10"/>
    <mergeCell ref="L11:P11"/>
    <mergeCell ref="AK10:AO10"/>
    <mergeCell ref="AK11:AO11"/>
    <mergeCell ref="Q9:U9"/>
    <mergeCell ref="B15:F15"/>
    <mergeCell ref="AP9:AT9"/>
    <mergeCell ref="AP10:AT10"/>
    <mergeCell ref="AP11:AT11"/>
    <mergeCell ref="B9:F9"/>
    <mergeCell ref="B10:F10"/>
    <mergeCell ref="B11:F11"/>
    <mergeCell ref="AF9:AJ9"/>
    <mergeCell ref="AF10:AJ10"/>
    <mergeCell ref="AF11:AJ11"/>
    <mergeCell ref="V11:AD11"/>
    <mergeCell ref="AK13:AO13"/>
    <mergeCell ref="B14:F14"/>
    <mergeCell ref="AP13:AT13"/>
    <mergeCell ref="B13:F13"/>
    <mergeCell ref="G13:K13"/>
    <mergeCell ref="L13:P13"/>
    <mergeCell ref="Q13:U13"/>
    <mergeCell ref="V13:AD13"/>
    <mergeCell ref="AF13:AJ13"/>
    <mergeCell ref="AP14:AT14"/>
    <mergeCell ref="AP15:AT15"/>
    <mergeCell ref="G14:K14"/>
    <mergeCell ref="G15:K15"/>
    <mergeCell ref="AF12:AJ12"/>
    <mergeCell ref="AK12:AO12"/>
    <mergeCell ref="AP5:AT6"/>
    <mergeCell ref="B2:S2"/>
    <mergeCell ref="AK7:AO7"/>
    <mergeCell ref="B4:AD4"/>
    <mergeCell ref="AF4:AT4"/>
    <mergeCell ref="B5:F6"/>
    <mergeCell ref="G5:K6"/>
    <mergeCell ref="L5:P6"/>
    <mergeCell ref="G7:K7"/>
    <mergeCell ref="AP7:AT7"/>
    <mergeCell ref="V5:AD6"/>
    <mergeCell ref="Q5:U6"/>
    <mergeCell ref="U2:AB2"/>
    <mergeCell ref="AC2:AD2"/>
    <mergeCell ref="AF5:AJ6"/>
    <mergeCell ref="AK5:AO6"/>
    <mergeCell ref="B7:F7"/>
    <mergeCell ref="L7:P7"/>
    <mergeCell ref="Q7:U7"/>
    <mergeCell ref="V7:AD7"/>
    <mergeCell ref="AF7:AJ7"/>
    <mergeCell ref="AK9:AO9"/>
    <mergeCell ref="V16:AD16"/>
    <mergeCell ref="AF16:AJ16"/>
    <mergeCell ref="Q17:U17"/>
    <mergeCell ref="AP16:AT16"/>
    <mergeCell ref="AK17:AO17"/>
    <mergeCell ref="AP17:AT17"/>
    <mergeCell ref="B8:F8"/>
    <mergeCell ref="G8:K8"/>
    <mergeCell ref="L8:P8"/>
    <mergeCell ref="Q8:U8"/>
    <mergeCell ref="V8:AD8"/>
    <mergeCell ref="Q10:U10"/>
    <mergeCell ref="Q11:U11"/>
    <mergeCell ref="V9:AD9"/>
    <mergeCell ref="AP12:AT12"/>
    <mergeCell ref="AK8:AO8"/>
    <mergeCell ref="AP8:AT8"/>
    <mergeCell ref="AF8:AJ8"/>
    <mergeCell ref="V10:AD10"/>
    <mergeCell ref="B12:F12"/>
    <mergeCell ref="G12:K12"/>
    <mergeCell ref="L12:P12"/>
    <mergeCell ref="Q12:U12"/>
    <mergeCell ref="V12:AD12"/>
    <mergeCell ref="B19:U19"/>
    <mergeCell ref="B20:F20"/>
    <mergeCell ref="G20:K20"/>
    <mergeCell ref="L20:P20"/>
    <mergeCell ref="B17:F17"/>
    <mergeCell ref="G17:K17"/>
    <mergeCell ref="B16:F16"/>
    <mergeCell ref="B23:U23"/>
    <mergeCell ref="B24:F24"/>
    <mergeCell ref="G24:K24"/>
    <mergeCell ref="L24:P24"/>
    <mergeCell ref="Q24:U24"/>
    <mergeCell ref="Q20:U20"/>
    <mergeCell ref="B21:F21"/>
    <mergeCell ref="G21:K21"/>
    <mergeCell ref="L21:P21"/>
    <mergeCell ref="Q21:U21"/>
    <mergeCell ref="G16:K16"/>
    <mergeCell ref="L16:P16"/>
    <mergeCell ref="Q16:U16"/>
    <mergeCell ref="Q29:U29"/>
    <mergeCell ref="Y31:AB31"/>
    <mergeCell ref="AC31:AF31"/>
    <mergeCell ref="AG31:AJ31"/>
    <mergeCell ref="AC33:AF33"/>
    <mergeCell ref="Y32:AB32"/>
    <mergeCell ref="AL29:AO29"/>
    <mergeCell ref="Y33:AB33"/>
    <mergeCell ref="AC29:AF29"/>
    <mergeCell ref="AC30:AF30"/>
    <mergeCell ref="AG29:AJ29"/>
    <mergeCell ref="AG32:AJ32"/>
    <mergeCell ref="Y30:AB30"/>
    <mergeCell ref="AK16:AO16"/>
    <mergeCell ref="X19:AL20"/>
    <mergeCell ref="AK15:AO15"/>
    <mergeCell ref="B34:H34"/>
    <mergeCell ref="I34:O34"/>
    <mergeCell ref="P34:U34"/>
    <mergeCell ref="B32:H33"/>
    <mergeCell ref="I32:O33"/>
    <mergeCell ref="B29:F29"/>
    <mergeCell ref="G29:K29"/>
    <mergeCell ref="L29:P29"/>
    <mergeCell ref="B30:F30"/>
    <mergeCell ref="G30:K30"/>
    <mergeCell ref="Y29:AB29"/>
    <mergeCell ref="B28:U28"/>
    <mergeCell ref="B25:F25"/>
    <mergeCell ref="G25:K25"/>
    <mergeCell ref="L25:P25"/>
    <mergeCell ref="Q25:U25"/>
    <mergeCell ref="B27:U27"/>
    <mergeCell ref="L30:P30"/>
    <mergeCell ref="AL33:AO33"/>
    <mergeCell ref="P32:U33"/>
    <mergeCell ref="Q30:U30"/>
    <mergeCell ref="L14:P14"/>
    <mergeCell ref="L15:P15"/>
    <mergeCell ref="Q14:U14"/>
    <mergeCell ref="Q15:U15"/>
    <mergeCell ref="AP33:AS33"/>
    <mergeCell ref="AP27:AS28"/>
    <mergeCell ref="AG33:AJ33"/>
    <mergeCell ref="AP29:AS29"/>
    <mergeCell ref="X21:AL21"/>
    <mergeCell ref="AP31:AS32"/>
    <mergeCell ref="X23:AT23"/>
    <mergeCell ref="X24:AT25"/>
    <mergeCell ref="Y27:AB28"/>
    <mergeCell ref="AC27:AF28"/>
    <mergeCell ref="AG30:AJ30"/>
    <mergeCell ref="AL31:AO32"/>
    <mergeCell ref="AC32:AF32"/>
    <mergeCell ref="AG27:AJ28"/>
    <mergeCell ref="V14:AD14"/>
    <mergeCell ref="V15:AD15"/>
    <mergeCell ref="AF14:AJ14"/>
    <mergeCell ref="AF15:AJ15"/>
    <mergeCell ref="AK14:AO14"/>
    <mergeCell ref="AL27:AO28"/>
  </mergeCells>
  <phoneticPr fontId="1"/>
  <conditionalFormatting sqref="X19:AL21">
    <cfRule type="expression" dxfId="4" priority="176" stopIfTrue="1">
      <formula>$AE$36=0</formula>
    </cfRule>
  </conditionalFormatting>
  <conditionalFormatting sqref="X23:AT25 X27:AT34">
    <cfRule type="expression" dxfId="3" priority="4" stopIfTrue="1">
      <formula>$AE$36=0</formula>
    </cfRule>
  </conditionalFormatting>
  <conditionalFormatting sqref="X26:AT26">
    <cfRule type="expression" dxfId="2" priority="3" stopIfTrue="1">
      <formula>$AE$36=0</formula>
    </cfRule>
  </conditionalFormatting>
  <conditionalFormatting sqref="AF4:AT16">
    <cfRule type="expression" dxfId="1" priority="2">
      <formula>$AE$36=0</formula>
    </cfRule>
  </conditionalFormatting>
  <conditionalFormatting sqref="AK17:AT17">
    <cfRule type="expression" dxfId="0" priority="1">
      <formula>$AE$36=0</formula>
    </cfRule>
  </conditionalFormatting>
  <dataValidations count="11">
    <dataValidation type="decimal" allowBlank="1" showInputMessage="1" showErrorMessage="1" error="Invalid value" prompt="Typical value is 4.0" sqref="I34:O34" xr:uid="{2BFEAE40-FC10-4994-AFD4-E306964E473B}">
      <formula1>Z37</formula1>
      <formula2>AA37</formula2>
    </dataValidation>
    <dataValidation type="decimal" allowBlank="1" showInputMessage="1" showErrorMessage="1" error="Invalid value" prompt="Typical value is 1.0" sqref="B30:F30" xr:uid="{F5C645FB-51FA-422F-993F-B8A32F16D6DC}">
      <formula1>Z36</formula1>
      <formula2>AA36</formula2>
    </dataValidation>
    <dataValidation type="decimal" allowBlank="1" showInputMessage="1" showErrorMessage="1" error="Invalid value" prompt="Typical value is 0.1" sqref="B34:H34" xr:uid="{8FD3D61F-E166-48B3-BBA7-79ED715FBEB9}">
      <formula1>0.0001</formula1>
      <formula2>50</formula2>
    </dataValidation>
    <dataValidation type="decimal" allowBlank="1" showInputMessage="1" showErrorMessage="1" error="Invalid value" prompt="Typical value is 90" sqref="P34:U34" xr:uid="{7B0118B6-3DE2-4A61-847C-30D0F2F2E946}">
      <formula1>10</formula1>
      <formula2>99</formula2>
    </dataValidation>
    <dataValidation type="decimal" allowBlank="1" showInputMessage="1" showErrorMessage="1" error="Invalid value" sqref="B25:F25" xr:uid="{83E6F1BE-FF57-4A42-A6D4-A40A005EF67F}">
      <formula1>1</formula1>
      <formula2>300</formula2>
    </dataValidation>
    <dataValidation type="decimal" allowBlank="1" showInputMessage="1" showErrorMessage="1" error="Invalid value" sqref="Y29:AB33" xr:uid="{E80BC043-0CF5-45C4-ABF7-BFFCA63A47DF}">
      <formula1>0.1</formula1>
      <formula2>60</formula2>
    </dataValidation>
    <dataValidation type="whole" allowBlank="1" showInputMessage="1" showErrorMessage="1" error="Invalid value" sqref="AL29:AO29" xr:uid="{7D872886-3810-4BF5-A5D4-7ED947791985}">
      <formula1>1</formula1>
      <formula2>10000</formula2>
    </dataValidation>
    <dataValidation type="decimal" allowBlank="1" showInputMessage="1" showErrorMessage="1" error="Invalid value" sqref="AL33:AO33" xr:uid="{22FE016A-A360-4457-ACDA-29ED7E2B8335}">
      <formula1>0.1</formula1>
      <formula2>10000</formula2>
    </dataValidation>
    <dataValidation type="decimal" allowBlank="1" showInputMessage="1" showErrorMessage="1" error="Invalid value" sqref="B7:F16" xr:uid="{D1668548-3E72-4BC7-9904-D5B986478A86}">
      <formula1>0</formula1>
      <formula2>300</formula2>
    </dataValidation>
    <dataValidation type="decimal" allowBlank="1" showInputMessage="1" showErrorMessage="1" error="Invalid value" sqref="G7:K16" xr:uid="{F32886CE-310D-4FFD-B281-D2ED7BFC9324}">
      <formula1>0</formula1>
      <formula2>100</formula2>
    </dataValidation>
    <dataValidation type="decimal" allowBlank="1" showInputMessage="1" showErrorMessage="1" error="Invalid value" sqref="AC2:AD2" xr:uid="{DDF8C725-1591-40CB-B2A0-1EB4FDBB9CB8}">
      <formula1>0.1</formula1>
      <formula2>100</formula2>
    </dataValidation>
  </dataValidations>
  <pageMargins left="0.7" right="0.7" top="0.75" bottom="0.75" header="0.3" footer="0.3"/>
  <pageSetup paperSize="9" orientation="landscape" r:id="rId1"/>
  <ignoredErrors>
    <ignoredError sqref="X20:AL20 Y19:AL19 AP17 Y21:AL21"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B1DE4-7021-4492-BE0D-2B29A06A22D7}">
  <dimension ref="A1:R30"/>
  <sheetViews>
    <sheetView showGridLines="0" showRowColHeaders="0" workbookViewId="0">
      <selection activeCell="S16" sqref="S16"/>
    </sheetView>
  </sheetViews>
  <sheetFormatPr defaultRowHeight="13"/>
  <sheetData>
    <row r="1" spans="1:18">
      <c r="A1" s="893" t="s">
        <v>179</v>
      </c>
      <c r="B1" s="894"/>
      <c r="C1" s="894"/>
      <c r="D1" s="894"/>
      <c r="E1" s="894"/>
      <c r="F1" s="894"/>
      <c r="G1" s="894"/>
      <c r="H1" s="894"/>
      <c r="I1" s="894"/>
      <c r="J1" s="894"/>
      <c r="K1" s="894"/>
      <c r="L1" s="894"/>
      <c r="M1" s="894"/>
      <c r="N1" s="894"/>
      <c r="O1" s="894"/>
      <c r="P1" s="894"/>
      <c r="Q1" s="894"/>
      <c r="R1" s="895"/>
    </row>
    <row r="2" spans="1:18">
      <c r="A2" s="896"/>
      <c r="B2" s="897"/>
      <c r="C2" s="897"/>
      <c r="D2" s="897"/>
      <c r="E2" s="897"/>
      <c r="F2" s="897"/>
      <c r="G2" s="897"/>
      <c r="H2" s="897"/>
      <c r="I2" s="897"/>
      <c r="J2" s="897"/>
      <c r="K2" s="897"/>
      <c r="L2" s="897"/>
      <c r="M2" s="897"/>
      <c r="N2" s="897"/>
      <c r="O2" s="897"/>
      <c r="P2" s="897"/>
      <c r="Q2" s="897"/>
      <c r="R2" s="898"/>
    </row>
    <row r="3" spans="1:18">
      <c r="A3" s="896"/>
      <c r="B3" s="897"/>
      <c r="C3" s="897"/>
      <c r="D3" s="897"/>
      <c r="E3" s="897"/>
      <c r="F3" s="897"/>
      <c r="G3" s="897"/>
      <c r="H3" s="897"/>
      <c r="I3" s="897"/>
      <c r="J3" s="897"/>
      <c r="K3" s="897"/>
      <c r="L3" s="897"/>
      <c r="M3" s="897"/>
      <c r="N3" s="897"/>
      <c r="O3" s="897"/>
      <c r="P3" s="897"/>
      <c r="Q3" s="897"/>
      <c r="R3" s="898"/>
    </row>
    <row r="4" spans="1:18">
      <c r="A4" s="896"/>
      <c r="B4" s="897"/>
      <c r="C4" s="897"/>
      <c r="D4" s="897"/>
      <c r="E4" s="897"/>
      <c r="F4" s="897"/>
      <c r="G4" s="897"/>
      <c r="H4" s="897"/>
      <c r="I4" s="897"/>
      <c r="J4" s="897"/>
      <c r="K4" s="897"/>
      <c r="L4" s="897"/>
      <c r="M4" s="897"/>
      <c r="N4" s="897"/>
      <c r="O4" s="897"/>
      <c r="P4" s="897"/>
      <c r="Q4" s="897"/>
      <c r="R4" s="898"/>
    </row>
    <row r="5" spans="1:18">
      <c r="A5" s="896"/>
      <c r="B5" s="897"/>
      <c r="C5" s="897"/>
      <c r="D5" s="897"/>
      <c r="E5" s="897"/>
      <c r="F5" s="897"/>
      <c r="G5" s="897"/>
      <c r="H5" s="897"/>
      <c r="I5" s="897"/>
      <c r="J5" s="897"/>
      <c r="K5" s="897"/>
      <c r="L5" s="897"/>
      <c r="M5" s="897"/>
      <c r="N5" s="897"/>
      <c r="O5" s="897"/>
      <c r="P5" s="897"/>
      <c r="Q5" s="897"/>
      <c r="R5" s="898"/>
    </row>
    <row r="6" spans="1:18">
      <c r="A6" s="896"/>
      <c r="B6" s="897"/>
      <c r="C6" s="897"/>
      <c r="D6" s="897"/>
      <c r="E6" s="897"/>
      <c r="F6" s="897"/>
      <c r="G6" s="897"/>
      <c r="H6" s="897"/>
      <c r="I6" s="897"/>
      <c r="J6" s="897"/>
      <c r="K6" s="897"/>
      <c r="L6" s="897"/>
      <c r="M6" s="897"/>
      <c r="N6" s="897"/>
      <c r="O6" s="897"/>
      <c r="P6" s="897"/>
      <c r="Q6" s="897"/>
      <c r="R6" s="898"/>
    </row>
    <row r="7" spans="1:18">
      <c r="A7" s="896"/>
      <c r="B7" s="897"/>
      <c r="C7" s="897"/>
      <c r="D7" s="897"/>
      <c r="E7" s="897"/>
      <c r="F7" s="897"/>
      <c r="G7" s="897"/>
      <c r="H7" s="897"/>
      <c r="I7" s="897"/>
      <c r="J7" s="897"/>
      <c r="K7" s="897"/>
      <c r="L7" s="897"/>
      <c r="M7" s="897"/>
      <c r="N7" s="897"/>
      <c r="O7" s="897"/>
      <c r="P7" s="897"/>
      <c r="Q7" s="897"/>
      <c r="R7" s="898"/>
    </row>
    <row r="8" spans="1:18">
      <c r="A8" s="896"/>
      <c r="B8" s="897"/>
      <c r="C8" s="897"/>
      <c r="D8" s="897"/>
      <c r="E8" s="897"/>
      <c r="F8" s="897"/>
      <c r="G8" s="897"/>
      <c r="H8" s="897"/>
      <c r="I8" s="897"/>
      <c r="J8" s="897"/>
      <c r="K8" s="897"/>
      <c r="L8" s="897"/>
      <c r="M8" s="897"/>
      <c r="N8" s="897"/>
      <c r="O8" s="897"/>
      <c r="P8" s="897"/>
      <c r="Q8" s="897"/>
      <c r="R8" s="898"/>
    </row>
    <row r="9" spans="1:18">
      <c r="A9" s="896"/>
      <c r="B9" s="897"/>
      <c r="C9" s="897"/>
      <c r="D9" s="897"/>
      <c r="E9" s="897"/>
      <c r="F9" s="897"/>
      <c r="G9" s="897"/>
      <c r="H9" s="897"/>
      <c r="I9" s="897"/>
      <c r="J9" s="897"/>
      <c r="K9" s="897"/>
      <c r="L9" s="897"/>
      <c r="M9" s="897"/>
      <c r="N9" s="897"/>
      <c r="O9" s="897"/>
      <c r="P9" s="897"/>
      <c r="Q9" s="897"/>
      <c r="R9" s="898"/>
    </row>
    <row r="10" spans="1:18">
      <c r="A10" s="896"/>
      <c r="B10" s="897"/>
      <c r="C10" s="897"/>
      <c r="D10" s="897"/>
      <c r="E10" s="897"/>
      <c r="F10" s="897"/>
      <c r="G10" s="897"/>
      <c r="H10" s="897"/>
      <c r="I10" s="897"/>
      <c r="J10" s="897"/>
      <c r="K10" s="897"/>
      <c r="L10" s="897"/>
      <c r="M10" s="897"/>
      <c r="N10" s="897"/>
      <c r="O10" s="897"/>
      <c r="P10" s="897"/>
      <c r="Q10" s="897"/>
      <c r="R10" s="898"/>
    </row>
    <row r="11" spans="1:18">
      <c r="A11" s="896"/>
      <c r="B11" s="897"/>
      <c r="C11" s="897"/>
      <c r="D11" s="897"/>
      <c r="E11" s="897"/>
      <c r="F11" s="897"/>
      <c r="G11" s="897"/>
      <c r="H11" s="897"/>
      <c r="I11" s="897"/>
      <c r="J11" s="897"/>
      <c r="K11" s="897"/>
      <c r="L11" s="897"/>
      <c r="M11" s="897"/>
      <c r="N11" s="897"/>
      <c r="O11" s="897"/>
      <c r="P11" s="897"/>
      <c r="Q11" s="897"/>
      <c r="R11" s="898"/>
    </row>
    <row r="12" spans="1:18">
      <c r="A12" s="896"/>
      <c r="B12" s="897"/>
      <c r="C12" s="897"/>
      <c r="D12" s="897"/>
      <c r="E12" s="897"/>
      <c r="F12" s="897"/>
      <c r="G12" s="897"/>
      <c r="H12" s="897"/>
      <c r="I12" s="897"/>
      <c r="J12" s="897"/>
      <c r="K12" s="897"/>
      <c r="L12" s="897"/>
      <c r="M12" s="897"/>
      <c r="N12" s="897"/>
      <c r="O12" s="897"/>
      <c r="P12" s="897"/>
      <c r="Q12" s="897"/>
      <c r="R12" s="898"/>
    </row>
    <row r="13" spans="1:18">
      <c r="A13" s="896"/>
      <c r="B13" s="897"/>
      <c r="C13" s="897"/>
      <c r="D13" s="897"/>
      <c r="E13" s="897"/>
      <c r="F13" s="897"/>
      <c r="G13" s="897"/>
      <c r="H13" s="897"/>
      <c r="I13" s="897"/>
      <c r="J13" s="897"/>
      <c r="K13" s="897"/>
      <c r="L13" s="897"/>
      <c r="M13" s="897"/>
      <c r="N13" s="897"/>
      <c r="O13" s="897"/>
      <c r="P13" s="897"/>
      <c r="Q13" s="897"/>
      <c r="R13" s="898"/>
    </row>
    <row r="14" spans="1:18">
      <c r="A14" s="896"/>
      <c r="B14" s="897"/>
      <c r="C14" s="897"/>
      <c r="D14" s="897"/>
      <c r="E14" s="897"/>
      <c r="F14" s="897"/>
      <c r="G14" s="897"/>
      <c r="H14" s="897"/>
      <c r="I14" s="897"/>
      <c r="J14" s="897"/>
      <c r="K14" s="897"/>
      <c r="L14" s="897"/>
      <c r="M14" s="897"/>
      <c r="N14" s="897"/>
      <c r="O14" s="897"/>
      <c r="P14" s="897"/>
      <c r="Q14" s="897"/>
      <c r="R14" s="898"/>
    </row>
    <row r="15" spans="1:18">
      <c r="A15" s="896"/>
      <c r="B15" s="897"/>
      <c r="C15" s="897"/>
      <c r="D15" s="897"/>
      <c r="E15" s="897"/>
      <c r="F15" s="897"/>
      <c r="G15" s="897"/>
      <c r="H15" s="897"/>
      <c r="I15" s="897"/>
      <c r="J15" s="897"/>
      <c r="K15" s="897"/>
      <c r="L15" s="897"/>
      <c r="M15" s="897"/>
      <c r="N15" s="897"/>
      <c r="O15" s="897"/>
      <c r="P15" s="897"/>
      <c r="Q15" s="897"/>
      <c r="R15" s="898"/>
    </row>
    <row r="16" spans="1:18">
      <c r="A16" s="896"/>
      <c r="B16" s="897"/>
      <c r="C16" s="897"/>
      <c r="D16" s="897"/>
      <c r="E16" s="897"/>
      <c r="F16" s="897"/>
      <c r="G16" s="897"/>
      <c r="H16" s="897"/>
      <c r="I16" s="897"/>
      <c r="J16" s="897"/>
      <c r="K16" s="897"/>
      <c r="L16" s="897"/>
      <c r="M16" s="897"/>
      <c r="N16" s="897"/>
      <c r="O16" s="897"/>
      <c r="P16" s="897"/>
      <c r="Q16" s="897"/>
      <c r="R16" s="898"/>
    </row>
    <row r="17" spans="1:18">
      <c r="A17" s="896"/>
      <c r="B17" s="897"/>
      <c r="C17" s="897"/>
      <c r="D17" s="897"/>
      <c r="E17" s="897"/>
      <c r="F17" s="897"/>
      <c r="G17" s="897"/>
      <c r="H17" s="897"/>
      <c r="I17" s="897"/>
      <c r="J17" s="897"/>
      <c r="K17" s="897"/>
      <c r="L17" s="897"/>
      <c r="M17" s="897"/>
      <c r="N17" s="897"/>
      <c r="O17" s="897"/>
      <c r="P17" s="897"/>
      <c r="Q17" s="897"/>
      <c r="R17" s="898"/>
    </row>
    <row r="18" spans="1:18">
      <c r="A18" s="896"/>
      <c r="B18" s="897"/>
      <c r="C18" s="897"/>
      <c r="D18" s="897"/>
      <c r="E18" s="897"/>
      <c r="F18" s="897"/>
      <c r="G18" s="897"/>
      <c r="H18" s="897"/>
      <c r="I18" s="897"/>
      <c r="J18" s="897"/>
      <c r="K18" s="897"/>
      <c r="L18" s="897"/>
      <c r="M18" s="897"/>
      <c r="N18" s="897"/>
      <c r="O18" s="897"/>
      <c r="P18" s="897"/>
      <c r="Q18" s="897"/>
      <c r="R18" s="898"/>
    </row>
    <row r="19" spans="1:18">
      <c r="A19" s="896"/>
      <c r="B19" s="897"/>
      <c r="C19" s="897"/>
      <c r="D19" s="897"/>
      <c r="E19" s="897"/>
      <c r="F19" s="897"/>
      <c r="G19" s="897"/>
      <c r="H19" s="897"/>
      <c r="I19" s="897"/>
      <c r="J19" s="897"/>
      <c r="K19" s="897"/>
      <c r="L19" s="897"/>
      <c r="M19" s="897"/>
      <c r="N19" s="897"/>
      <c r="O19" s="897"/>
      <c r="P19" s="897"/>
      <c r="Q19" s="897"/>
      <c r="R19" s="898"/>
    </row>
    <row r="20" spans="1:18">
      <c r="A20" s="896"/>
      <c r="B20" s="897"/>
      <c r="C20" s="897"/>
      <c r="D20" s="897"/>
      <c r="E20" s="897"/>
      <c r="F20" s="897"/>
      <c r="G20" s="897"/>
      <c r="H20" s="897"/>
      <c r="I20" s="897"/>
      <c r="J20" s="897"/>
      <c r="K20" s="897"/>
      <c r="L20" s="897"/>
      <c r="M20" s="897"/>
      <c r="N20" s="897"/>
      <c r="O20" s="897"/>
      <c r="P20" s="897"/>
      <c r="Q20" s="897"/>
      <c r="R20" s="898"/>
    </row>
    <row r="21" spans="1:18">
      <c r="A21" s="896"/>
      <c r="B21" s="897"/>
      <c r="C21" s="897"/>
      <c r="D21" s="897"/>
      <c r="E21" s="897"/>
      <c r="F21" s="897"/>
      <c r="G21" s="897"/>
      <c r="H21" s="897"/>
      <c r="I21" s="897"/>
      <c r="J21" s="897"/>
      <c r="K21" s="897"/>
      <c r="L21" s="897"/>
      <c r="M21" s="897"/>
      <c r="N21" s="897"/>
      <c r="O21" s="897"/>
      <c r="P21" s="897"/>
      <c r="Q21" s="897"/>
      <c r="R21" s="898"/>
    </row>
    <row r="22" spans="1:18">
      <c r="A22" s="896"/>
      <c r="B22" s="897"/>
      <c r="C22" s="897"/>
      <c r="D22" s="897"/>
      <c r="E22" s="897"/>
      <c r="F22" s="897"/>
      <c r="G22" s="897"/>
      <c r="H22" s="897"/>
      <c r="I22" s="897"/>
      <c r="J22" s="897"/>
      <c r="K22" s="897"/>
      <c r="L22" s="897"/>
      <c r="M22" s="897"/>
      <c r="N22" s="897"/>
      <c r="O22" s="897"/>
      <c r="P22" s="897"/>
      <c r="Q22" s="897"/>
      <c r="R22" s="898"/>
    </row>
    <row r="23" spans="1:18">
      <c r="A23" s="896"/>
      <c r="B23" s="897"/>
      <c r="C23" s="897"/>
      <c r="D23" s="897"/>
      <c r="E23" s="897"/>
      <c r="F23" s="897"/>
      <c r="G23" s="897"/>
      <c r="H23" s="897"/>
      <c r="I23" s="897"/>
      <c r="J23" s="897"/>
      <c r="K23" s="897"/>
      <c r="L23" s="897"/>
      <c r="M23" s="897"/>
      <c r="N23" s="897"/>
      <c r="O23" s="897"/>
      <c r="P23" s="897"/>
      <c r="Q23" s="897"/>
      <c r="R23" s="898"/>
    </row>
    <row r="24" spans="1:18">
      <c r="A24" s="896"/>
      <c r="B24" s="897"/>
      <c r="C24" s="897"/>
      <c r="D24" s="897"/>
      <c r="E24" s="897"/>
      <c r="F24" s="897"/>
      <c r="G24" s="897"/>
      <c r="H24" s="897"/>
      <c r="I24" s="897"/>
      <c r="J24" s="897"/>
      <c r="K24" s="897"/>
      <c r="L24" s="897"/>
      <c r="M24" s="897"/>
      <c r="N24" s="897"/>
      <c r="O24" s="897"/>
      <c r="P24" s="897"/>
      <c r="Q24" s="897"/>
      <c r="R24" s="898"/>
    </row>
    <row r="25" spans="1:18">
      <c r="A25" s="896"/>
      <c r="B25" s="897"/>
      <c r="C25" s="897"/>
      <c r="D25" s="897"/>
      <c r="E25" s="897"/>
      <c r="F25" s="897"/>
      <c r="G25" s="897"/>
      <c r="H25" s="897"/>
      <c r="I25" s="897"/>
      <c r="J25" s="897"/>
      <c r="K25" s="897"/>
      <c r="L25" s="897"/>
      <c r="M25" s="897"/>
      <c r="N25" s="897"/>
      <c r="O25" s="897"/>
      <c r="P25" s="897"/>
      <c r="Q25" s="897"/>
      <c r="R25" s="898"/>
    </row>
    <row r="26" spans="1:18">
      <c r="A26" s="896"/>
      <c r="B26" s="897"/>
      <c r="C26" s="897"/>
      <c r="D26" s="897"/>
      <c r="E26" s="897"/>
      <c r="F26" s="897"/>
      <c r="G26" s="897"/>
      <c r="H26" s="897"/>
      <c r="I26" s="897"/>
      <c r="J26" s="897"/>
      <c r="K26" s="897"/>
      <c r="L26" s="897"/>
      <c r="M26" s="897"/>
      <c r="N26" s="897"/>
      <c r="O26" s="897"/>
      <c r="P26" s="897"/>
      <c r="Q26" s="897"/>
      <c r="R26" s="898"/>
    </row>
    <row r="27" spans="1:18">
      <c r="A27" s="896"/>
      <c r="B27" s="897"/>
      <c r="C27" s="897"/>
      <c r="D27" s="897"/>
      <c r="E27" s="897"/>
      <c r="F27" s="897"/>
      <c r="G27" s="897"/>
      <c r="H27" s="897"/>
      <c r="I27" s="897"/>
      <c r="J27" s="897"/>
      <c r="K27" s="897"/>
      <c r="L27" s="897"/>
      <c r="M27" s="897"/>
      <c r="N27" s="897"/>
      <c r="O27" s="897"/>
      <c r="P27" s="897"/>
      <c r="Q27" s="897"/>
      <c r="R27" s="898"/>
    </row>
    <row r="28" spans="1:18" ht="13.5" customHeight="1">
      <c r="A28" s="896"/>
      <c r="B28" s="897"/>
      <c r="C28" s="897"/>
      <c r="D28" s="897"/>
      <c r="E28" s="897"/>
      <c r="F28" s="897"/>
      <c r="G28" s="897"/>
      <c r="H28" s="897"/>
      <c r="I28" s="897"/>
      <c r="J28" s="897"/>
      <c r="K28" s="897"/>
      <c r="L28" s="897"/>
      <c r="M28" s="897"/>
      <c r="N28" s="897"/>
      <c r="O28" s="897"/>
      <c r="P28" s="897"/>
      <c r="Q28" s="897"/>
      <c r="R28" s="898"/>
    </row>
    <row r="29" spans="1:18" ht="17.5" customHeight="1">
      <c r="A29" s="899"/>
      <c r="B29" s="900"/>
      <c r="C29" s="900"/>
      <c r="D29" s="900"/>
      <c r="E29" s="900"/>
      <c r="F29" s="900"/>
      <c r="G29" s="900"/>
      <c r="H29" s="900"/>
      <c r="I29" s="900"/>
      <c r="J29" s="900"/>
      <c r="K29" s="900"/>
      <c r="L29" s="900"/>
      <c r="M29" s="900"/>
      <c r="N29" s="900"/>
      <c r="O29" s="900"/>
      <c r="P29" s="900"/>
      <c r="Q29" s="900"/>
      <c r="R29" s="901"/>
    </row>
    <row r="30" spans="1:18" ht="13" customHeight="1"/>
  </sheetData>
  <sheetProtection algorithmName="SHA-512" hashValue="4ph94cFfBf9/7M5CwB7nRSYW3ZSMVSQRueQIiyDz8A7hJPg/cgBIUwab5E9sJfBVKimvnn9Sj7874LBt9dORiA==" saltValue="yaXaLZYCJKBr4J47n/zRUg==" spinCount="100000" sheet="1" objects="1" scenarios="1" selectLockedCells="1" selectUnlockedCells="1"/>
  <mergeCells count="1">
    <mergeCell ref="A1:R29"/>
  </mergeCells>
  <phoneticPr fontId="9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Macro1</vt:lpstr>
      <vt:lpstr>Top sheet</vt:lpstr>
      <vt:lpstr>HTOL</vt:lpstr>
      <vt:lpstr>THB</vt:lpstr>
      <vt:lpstr>THS</vt:lpstr>
      <vt:lpstr>T Cycle</vt:lpstr>
      <vt:lpstr>HTS</vt:lpstr>
      <vt:lpstr>Update Description</vt:lpstr>
      <vt:lpstr>HTOL!Print_Area</vt:lpstr>
      <vt:lpstr>HTS!Print_Area</vt:lpstr>
      <vt:lpstr>'T Cycle'!Print_Area</vt:lpstr>
      <vt:lpstr>THB!Print_Area</vt:lpstr>
      <vt:lpstr>THS!Print_Area</vt:lpstr>
      <vt:lpstr>'Top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RELAdmin</dc:creator>
  <cp:lastModifiedBy>Kogo Iwabuchi</cp:lastModifiedBy>
  <cp:lastPrinted>2014-06-05T04:35:35Z</cp:lastPrinted>
  <dcterms:created xsi:type="dcterms:W3CDTF">2014-01-21T06:55:43Z</dcterms:created>
  <dcterms:modified xsi:type="dcterms:W3CDTF">2025-10-20T06:08:55Z</dcterms:modified>
</cp:coreProperties>
</file>